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F:\Users\donhe\HERR Dropbox\Donald Herrman\Santa Paula\Application Master Excel Forms\"/>
    </mc:Choice>
  </mc:AlternateContent>
  <xr:revisionPtr revIDLastSave="0" documentId="8_{0A689C76-63D0-454D-909A-5AF0FAFDCE6F}" xr6:coauthVersionLast="47" xr6:coauthVersionMax="47" xr10:uidLastSave="{00000000-0000-0000-0000-000000000000}"/>
  <bookViews>
    <workbookView xWindow="-108" yWindow="-108" windowWidth="23256" windowHeight="12576"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9" i="3" l="1"/>
  <c r="M960" i="3"/>
  <c r="E67" i="7"/>
  <c r="G67" i="7"/>
  <c r="I67" i="7"/>
  <c r="E99" i="4" l="1"/>
  <c r="S45" i="4"/>
  <c r="S41" i="4"/>
  <c r="E41" i="4"/>
  <c r="E73" i="4"/>
  <c r="C83" i="4"/>
  <c r="E80" i="4" l="1"/>
  <c r="R80" i="4" s="1"/>
  <c r="E79" i="4"/>
  <c r="E81" i="4" s="1"/>
  <c r="E95" i="4"/>
  <c r="E94" i="4"/>
  <c r="E93" i="4"/>
  <c r="E92" i="4"/>
  <c r="E91" i="4"/>
  <c r="E90" i="4"/>
  <c r="E89" i="4"/>
  <c r="E84" i="4"/>
  <c r="R84" i="4" s="1"/>
  <c r="E83" i="4"/>
  <c r="R83" i="4" s="1"/>
  <c r="E75" i="4"/>
  <c r="E77" i="4" s="1"/>
  <c r="E74" i="4"/>
  <c r="E72" i="4"/>
  <c r="E69" i="4"/>
  <c r="E58" i="4"/>
  <c r="E53" i="4"/>
  <c r="E52" i="4"/>
  <c r="E51" i="4"/>
  <c r="E50" i="4"/>
  <c r="E46" i="4"/>
  <c r="E45" i="4"/>
  <c r="R45" i="4" s="1"/>
  <c r="E40" i="4"/>
  <c r="E37" i="4"/>
  <c r="E35" i="4"/>
  <c r="E33" i="4"/>
  <c r="E32" i="4"/>
  <c r="E31" i="4"/>
  <c r="R31" i="4" s="1"/>
  <c r="E29" i="4"/>
  <c r="E30" i="4"/>
  <c r="S80" i="4"/>
  <c r="S99" i="4"/>
  <c r="S95" i="4"/>
  <c r="S94" i="4"/>
  <c r="S92" i="4"/>
  <c r="S91" i="4"/>
  <c r="S90" i="4"/>
  <c r="S89" i="4"/>
  <c r="S86" i="4"/>
  <c r="S85" i="4"/>
  <c r="S84" i="4"/>
  <c r="S52" i="4"/>
  <c r="S51" i="4"/>
  <c r="E51" i="13" s="1"/>
  <c r="S50" i="4"/>
  <c r="S46" i="4"/>
  <c r="E46" i="13" s="1"/>
  <c r="S40" i="4"/>
  <c r="S37" i="4"/>
  <c r="S35" i="4"/>
  <c r="S33" i="4"/>
  <c r="S32" i="4"/>
  <c r="S31" i="4"/>
  <c r="S30" i="4"/>
  <c r="C29" i="4"/>
  <c r="C85" i="4"/>
  <c r="C86" i="11" s="1"/>
  <c r="G85" i="4"/>
  <c r="W861" i="3"/>
  <c r="W846" i="3"/>
  <c r="W847" i="3" s="1"/>
  <c r="E15" i="7" s="1"/>
  <c r="G15" i="7" s="1"/>
  <c r="I15" i="7" s="1"/>
  <c r="K15" i="7" s="1"/>
  <c r="M15" i="7" s="1"/>
  <c r="O15" i="7" s="1"/>
  <c r="Q15" i="7" s="1"/>
  <c r="S15" i="7" s="1"/>
  <c r="U15" i="7" s="1"/>
  <c r="W15" i="7" s="1"/>
  <c r="Y15" i="7" s="1"/>
  <c r="AA15" i="7" s="1"/>
  <c r="AC15" i="7" s="1"/>
  <c r="AE15" i="7" s="1"/>
  <c r="AG15" i="7" s="1"/>
  <c r="L65" i="21"/>
  <c r="BQ98" i="27"/>
  <c r="BQ97" i="27"/>
  <c r="BQ96" i="27"/>
  <c r="X752" i="3"/>
  <c r="AH752" i="3"/>
  <c r="BG701" i="3"/>
  <c r="BT701" i="3"/>
  <c r="BT702" i="3"/>
  <c r="BA700" i="3"/>
  <c r="BA701" i="3"/>
  <c r="AJ1019" i="3"/>
  <c r="P18" i="21"/>
  <c r="P20" i="27"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U363" i="20"/>
  <c r="Y67" i="15"/>
  <c r="BG690" i="3"/>
  <c r="AH751" i="3"/>
  <c r="AH742" i="3"/>
  <c r="AY1022" i="3"/>
  <c r="G753" i="3"/>
  <c r="C757" i="3" s="1"/>
  <c r="AX678" i="20"/>
  <c r="AJ700" i="20"/>
  <c r="AJ714" i="20"/>
  <c r="AJ610" i="20"/>
  <c r="AO586" i="20"/>
  <c r="AP572"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I22" i="8"/>
  <c r="J22" i="8" s="1"/>
  <c r="J21" i="8"/>
  <c r="I21" i="8"/>
  <c r="J20" i="8"/>
  <c r="I20" i="8"/>
  <c r="J19" i="8"/>
  <c r="I19" i="8"/>
  <c r="J18" i="8"/>
  <c r="I18" i="8"/>
  <c r="J17" i="8"/>
  <c r="I17" i="8"/>
  <c r="I16" i="8"/>
  <c r="J16" i="8" s="1"/>
  <c r="I15" i="8"/>
  <c r="J15" i="8" s="1"/>
  <c r="J14" i="8"/>
  <c r="I14" i="8"/>
  <c r="J13" i="8"/>
  <c r="I13" i="8"/>
  <c r="J12" i="8"/>
  <c r="I12" i="8"/>
  <c r="J11" i="8"/>
  <c r="I11" i="8"/>
  <c r="I10" i="8"/>
  <c r="J10" i="8" s="1"/>
  <c r="J9" i="8"/>
  <c r="I9" i="8"/>
  <c r="J8" i="8"/>
  <c r="I8" i="8"/>
  <c r="J7" i="8"/>
  <c r="I7" i="8"/>
  <c r="J6" i="8"/>
  <c r="I6" i="8"/>
  <c r="J5" i="8"/>
  <c r="I5" i="8"/>
  <c r="J4" i="8"/>
  <c r="I4" i="8"/>
  <c r="AH750" i="3"/>
  <c r="AH749" i="3"/>
  <c r="AH748" i="3"/>
  <c r="AH747" i="3"/>
  <c r="AH746" i="3"/>
  <c r="AH745" i="3"/>
  <c r="AH744" i="3"/>
  <c r="AH743" i="3"/>
  <c r="AH741" i="3"/>
  <c r="AH729" i="3"/>
  <c r="AH728" i="3"/>
  <c r="AH727" i="3"/>
  <c r="AH726" i="3"/>
  <c r="AH725" i="3"/>
  <c r="AH724" i="3"/>
  <c r="BE597" i="3"/>
  <c r="BG597" i="3" s="1"/>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s="1"/>
  <c r="CC620" i="3"/>
  <c r="EM620" i="3" s="1"/>
  <c r="CH620" i="3"/>
  <c r="ER620" i="3" s="1"/>
  <c r="CM620" i="3"/>
  <c r="EW620" i="3" s="1"/>
  <c r="BN621" i="3"/>
  <c r="DX621" i="3"/>
  <c r="BS621" i="3"/>
  <c r="EC621" i="3" s="1"/>
  <c r="BX621" i="3"/>
  <c r="EH621" i="3" s="1"/>
  <c r="CC621" i="3"/>
  <c r="EM621" i="3" s="1"/>
  <c r="CH621" i="3"/>
  <c r="ER621" i="3" s="1"/>
  <c r="CM621" i="3"/>
  <c r="EW621" i="3" s="1"/>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T22" i="15"/>
  <c r="AJ169" i="20"/>
  <c r="T799" i="20" s="1"/>
  <c r="AJ155" i="20"/>
  <c r="AP282"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J993" i="3"/>
  <c r="I13" i="21" s="1"/>
  <c r="AF1025" i="3"/>
  <c r="AF1020" i="3"/>
  <c r="AB212" i="3"/>
  <c r="AF1013" i="3" s="1"/>
  <c r="C5" i="7"/>
  <c r="C7" i="7"/>
  <c r="C9" i="7"/>
  <c r="E40" i="7"/>
  <c r="A40" i="7"/>
  <c r="E33" i="7"/>
  <c r="E32" i="7"/>
  <c r="E31" i="7"/>
  <c r="E30" i="7"/>
  <c r="E29" i="7"/>
  <c r="E28" i="7"/>
  <c r="AA28" i="7" s="1"/>
  <c r="E27" i="7"/>
  <c r="E26" i="7"/>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E19" i="7"/>
  <c r="W872" i="3"/>
  <c r="E20" i="7" s="1"/>
  <c r="G20" i="7" s="1"/>
  <c r="I20" i="7" s="1"/>
  <c r="K20" i="7" s="1"/>
  <c r="M20" i="7" s="1"/>
  <c r="O20" i="7" s="1"/>
  <c r="Q20" i="7" s="1"/>
  <c r="S20" i="7" s="1"/>
  <c r="U20" i="7" s="1"/>
  <c r="W20" i="7" s="1"/>
  <c r="Y20" i="7" s="1"/>
  <c r="AA20" i="7" s="1"/>
  <c r="AC20" i="7" s="1"/>
  <c r="AE20" i="7" s="1"/>
  <c r="AG20" i="7" s="1"/>
  <c r="W879" i="3"/>
  <c r="E21" i="7"/>
  <c r="G21" i="7"/>
  <c r="I21"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T25" i="15"/>
  <c r="AD7" i="15"/>
  <c r="CB796" i="3"/>
  <c r="R988" i="3"/>
  <c r="BN597" i="3"/>
  <c r="BN598" i="3"/>
  <c r="DX598" i="3" s="1"/>
  <c r="BN599" i="3"/>
  <c r="DX599" i="3" s="1"/>
  <c r="BN600" i="3"/>
  <c r="DX600" i="3" s="1"/>
  <c r="BN601" i="3"/>
  <c r="DX601" i="3" s="1"/>
  <c r="BN602" i="3"/>
  <c r="DX602" i="3" s="1"/>
  <c r="BN603" i="3"/>
  <c r="DX603" i="3" s="1"/>
  <c r="BN604" i="3"/>
  <c r="DX604" i="3"/>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c r="BN618" i="3"/>
  <c r="DX618" i="3" s="1"/>
  <c r="BN619" i="3"/>
  <c r="DX619" i="3" s="1"/>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BS597" i="3"/>
  <c r="BS598" i="3"/>
  <c r="EC598" i="3" s="1"/>
  <c r="BS599" i="3"/>
  <c r="EC599" i="3" s="1"/>
  <c r="BS600" i="3"/>
  <c r="EC600" i="3" s="1"/>
  <c r="BS601" i="3"/>
  <c r="EC601" i="3" s="1"/>
  <c r="BS602" i="3"/>
  <c r="EC602" i="3" s="1"/>
  <c r="BS603" i="3"/>
  <c r="EC603" i="3" s="1"/>
  <c r="BS604" i="3"/>
  <c r="EC604" i="3"/>
  <c r="BS605" i="3"/>
  <c r="EC605" i="3"/>
  <c r="BS606" i="3"/>
  <c r="EC606" i="3" s="1"/>
  <c r="BS607" i="3"/>
  <c r="EC607" i="3"/>
  <c r="BS608" i="3"/>
  <c r="EC608" i="3" s="1"/>
  <c r="BS609" i="3"/>
  <c r="EC609" i="3" s="1"/>
  <c r="BS610" i="3"/>
  <c r="EC610" i="3" s="1"/>
  <c r="BS611" i="3"/>
  <c r="EC611" i="3" s="1"/>
  <c r="BS612" i="3"/>
  <c r="EC612" i="3" s="1"/>
  <c r="BS613" i="3"/>
  <c r="EC613" i="3" s="1"/>
  <c r="BS614" i="3"/>
  <c r="EC614" i="3" s="1"/>
  <c r="BS615" i="3"/>
  <c r="EC615" i="3" s="1"/>
  <c r="BS616" i="3"/>
  <c r="EC616" i="3" s="1"/>
  <c r="BS617" i="3"/>
  <c r="EC617" i="3"/>
  <c r="BS618" i="3"/>
  <c r="EC618" i="3" s="1"/>
  <c r="BS619" i="3"/>
  <c r="EC619" i="3" s="1"/>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c r="BX609" i="3"/>
  <c r="EH609" i="3" s="1"/>
  <c r="BX610" i="3"/>
  <c r="EH610" i="3" s="1"/>
  <c r="BX611" i="3"/>
  <c r="EH611" i="3" s="1"/>
  <c r="BX612" i="3"/>
  <c r="EH612" i="3"/>
  <c r="BX613" i="3"/>
  <c r="EH613" i="3" s="1"/>
  <c r="BX614" i="3"/>
  <c r="EH614" i="3" s="1"/>
  <c r="BX615" i="3"/>
  <c r="EH615" i="3" s="1"/>
  <c r="BX616" i="3"/>
  <c r="EH616" i="3" s="1"/>
  <c r="BX617" i="3"/>
  <c r="EH617" i="3" s="1"/>
  <c r="BX618" i="3"/>
  <c r="EH618" i="3"/>
  <c r="BX619" i="3"/>
  <c r="EH619" i="3" s="1"/>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CC597" i="3"/>
  <c r="EM597" i="3" s="1"/>
  <c r="CC598" i="3"/>
  <c r="EM598" i="3" s="1"/>
  <c r="CC599" i="3"/>
  <c r="EM599" i="3" s="1"/>
  <c r="CC600" i="3"/>
  <c r="EM600" i="3"/>
  <c r="CC601" i="3"/>
  <c r="EM601" i="3" s="1"/>
  <c r="CC602" i="3"/>
  <c r="EM602" i="3" s="1"/>
  <c r="CC603" i="3"/>
  <c r="EM603" i="3"/>
  <c r="CC604" i="3"/>
  <c r="EM604" i="3"/>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c r="CC631"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CM597" i="3"/>
  <c r="EW597" i="3" s="1"/>
  <c r="CM598" i="3"/>
  <c r="EW598" i="3" s="1"/>
  <c r="CM599" i="3"/>
  <c r="EW599" i="3" s="1"/>
  <c r="CM600" i="3"/>
  <c r="EW600" i="3" s="1"/>
  <c r="CM601" i="3"/>
  <c r="EW601" i="3" s="1"/>
  <c r="CM602" i="3"/>
  <c r="EW602" i="3"/>
  <c r="CM603" i="3"/>
  <c r="EW603" i="3" s="1"/>
  <c r="CM604" i="3"/>
  <c r="EW604" i="3"/>
  <c r="CM605" i="3"/>
  <c r="EW605" i="3" s="1"/>
  <c r="CM606" i="3"/>
  <c r="EW606" i="3" s="1"/>
  <c r="CM607" i="3"/>
  <c r="EW607" i="3"/>
  <c r="CM608" i="3"/>
  <c r="EW608" i="3"/>
  <c r="CM609" i="3"/>
  <c r="EW609" i="3" s="1"/>
  <c r="CM610" i="3"/>
  <c r="EW610" i="3" s="1"/>
  <c r="CM611" i="3"/>
  <c r="EW611" i="3" s="1"/>
  <c r="CM612" i="3"/>
  <c r="EW612" i="3" s="1"/>
  <c r="CM613" i="3"/>
  <c r="EW613" i="3"/>
  <c r="CM614" i="3"/>
  <c r="EW614" i="3" s="1"/>
  <c r="CM615" i="3"/>
  <c r="EW615" i="3" s="1"/>
  <c r="CM616" i="3"/>
  <c r="EW616" i="3" s="1"/>
  <c r="CM617" i="3"/>
  <c r="EW617" i="3" s="1"/>
  <c r="CM618" i="3"/>
  <c r="EW618" i="3"/>
  <c r="CM619" i="3"/>
  <c r="EW619" i="3" s="1"/>
  <c r="CM631" i="3"/>
  <c r="EW631" i="3"/>
  <c r="CH597" i="3"/>
  <c r="ER597" i="3" s="1"/>
  <c r="CH598" i="3"/>
  <c r="ER598" i="3"/>
  <c r="CH599" i="3"/>
  <c r="ER599" i="3"/>
  <c r="CH600" i="3"/>
  <c r="ER600" i="3"/>
  <c r="CH601" i="3"/>
  <c r="ER601" i="3" s="1"/>
  <c r="CH602" i="3"/>
  <c r="ER602" i="3"/>
  <c r="CH603" i="3"/>
  <c r="ER603" i="3" s="1"/>
  <c r="CH604" i="3"/>
  <c r="ER604" i="3" s="1"/>
  <c r="CH605" i="3"/>
  <c r="ER605" i="3" s="1"/>
  <c r="CH606" i="3"/>
  <c r="ER606" i="3" s="1"/>
  <c r="CH607" i="3"/>
  <c r="ER607" i="3"/>
  <c r="CH608" i="3"/>
  <c r="ER608" i="3"/>
  <c r="CH609" i="3"/>
  <c r="ER609" i="3"/>
  <c r="CH610" i="3"/>
  <c r="ER610" i="3"/>
  <c r="CH611" i="3"/>
  <c r="ER611" i="3" s="1"/>
  <c r="CH612" i="3"/>
  <c r="ER612" i="3" s="1"/>
  <c r="CH613" i="3"/>
  <c r="ER613" i="3" s="1"/>
  <c r="CH614" i="3"/>
  <c r="ER614" i="3" s="1"/>
  <c r="CH615" i="3"/>
  <c r="ER615" i="3" s="1"/>
  <c r="CH616" i="3"/>
  <c r="ER616" i="3"/>
  <c r="CH617" i="3"/>
  <c r="ER617" i="3" s="1"/>
  <c r="CH618" i="3"/>
  <c r="ER618" i="3" s="1"/>
  <c r="CH619" i="3"/>
  <c r="ER619" i="3"/>
  <c r="CH631"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AJ1000" i="3"/>
  <c r="AJ1006" i="3"/>
  <c r="AJ1010" i="3"/>
  <c r="AJ1012" i="3"/>
  <c r="AJ1028" i="3"/>
  <c r="AZ843" i="3" s="1"/>
  <c r="AJ1031" i="3"/>
  <c r="AJ1035" i="3" s="1"/>
  <c r="AJ1040" i="3"/>
  <c r="BE598" i="3"/>
  <c r="BG598" i="3"/>
  <c r="BE599" i="3"/>
  <c r="BG599" i="3" s="1"/>
  <c r="BE600" i="3"/>
  <c r="BG600" i="3"/>
  <c r="BE601" i="3"/>
  <c r="BG601" i="3"/>
  <c r="BE602" i="3"/>
  <c r="BG602" i="3"/>
  <c r="BE603" i="3"/>
  <c r="BG603" i="3" s="1"/>
  <c r="BE604" i="3"/>
  <c r="BG604" i="3"/>
  <c r="BE605" i="3"/>
  <c r="BG605" i="3"/>
  <c r="BE606" i="3"/>
  <c r="BG606" i="3"/>
  <c r="BE607" i="3"/>
  <c r="BG607" i="3"/>
  <c r="BE608" i="3"/>
  <c r="BG608" i="3"/>
  <c r="BE609" i="3"/>
  <c r="BG609" i="3" s="1"/>
  <c r="BE610" i="3"/>
  <c r="BG610" i="3" s="1"/>
  <c r="BE611" i="3"/>
  <c r="BG611" i="3" s="1"/>
  <c r="BE612" i="3"/>
  <c r="BG612" i="3" s="1"/>
  <c r="BE613" i="3"/>
  <c r="BG613" i="3"/>
  <c r="BE614" i="3"/>
  <c r="BG614" i="3"/>
  <c r="BE615" i="3"/>
  <c r="BG615" i="3"/>
  <c r="BE616" i="3"/>
  <c r="BG616" i="3" s="1"/>
  <c r="BE617" i="3"/>
  <c r="BG617" i="3" s="1"/>
  <c r="BE618" i="3"/>
  <c r="BG618" i="3"/>
  <c r="BE619" i="3"/>
  <c r="BG619" i="3" s="1"/>
  <c r="BE631" i="3"/>
  <c r="BG631" i="3"/>
  <c r="BI597" i="3"/>
  <c r="BK597" i="3" s="1"/>
  <c r="BI598" i="3"/>
  <c r="BK598" i="3"/>
  <c r="BI599" i="3"/>
  <c r="BK599" i="3"/>
  <c r="BI600" i="3"/>
  <c r="BK600" i="3"/>
  <c r="BI601" i="3"/>
  <c r="BK601" i="3"/>
  <c r="BI602" i="3"/>
  <c r="BK602" i="3" s="1"/>
  <c r="BI603" i="3"/>
  <c r="BK603" i="3"/>
  <c r="BI604" i="3"/>
  <c r="BK604" i="3" s="1"/>
  <c r="BI605" i="3"/>
  <c r="BK605" i="3"/>
  <c r="BI606" i="3"/>
  <c r="BK606" i="3"/>
  <c r="BI607" i="3"/>
  <c r="BK607" i="3"/>
  <c r="BI608" i="3"/>
  <c r="BK608" i="3"/>
  <c r="BI609" i="3"/>
  <c r="BK609" i="3" s="1"/>
  <c r="BI610" i="3"/>
  <c r="BK610" i="3"/>
  <c r="BI611" i="3"/>
  <c r="BK611" i="3" s="1"/>
  <c r="BI612" i="3"/>
  <c r="BK612" i="3"/>
  <c r="BI613" i="3"/>
  <c r="BK613" i="3"/>
  <c r="BI614" i="3"/>
  <c r="BK614" i="3" s="1"/>
  <c r="BI615" i="3"/>
  <c r="BK615" i="3"/>
  <c r="BI616" i="3"/>
  <c r="BK616" i="3"/>
  <c r="BI617" i="3"/>
  <c r="BK617" i="3" s="1"/>
  <c r="BI618" i="3"/>
  <c r="BK618" i="3"/>
  <c r="BI619" i="3"/>
  <c r="BK619" i="3" s="1"/>
  <c r="BI631" i="3"/>
  <c r="BK631" i="3"/>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c r="AK327" i="20" s="1"/>
  <c r="AO28" i="20"/>
  <c r="AO29" i="20"/>
  <c r="AO24" i="20"/>
  <c r="AO25" i="20"/>
  <c r="AO21" i="20"/>
  <c r="AO20" i="20"/>
  <c r="AO22" i="20"/>
  <c r="AO16" i="20"/>
  <c r="AO15" i="20"/>
  <c r="AO14" i="20"/>
  <c r="AO13" i="20"/>
  <c r="G113" i="21"/>
  <c r="G110" i="21"/>
  <c r="E112" i="21" s="1"/>
  <c r="I9" i="21"/>
  <c r="S26" i="4"/>
  <c r="C26" i="4"/>
  <c r="G90" i="21"/>
  <c r="G94" i="21" s="1"/>
  <c r="G77" i="21"/>
  <c r="M20" i="21"/>
  <c r="M21" i="21"/>
  <c r="S21" i="21"/>
  <c r="M22" i="21"/>
  <c r="S22" i="21" s="1"/>
  <c r="M23" i="21"/>
  <c r="S23" i="21" s="1"/>
  <c r="M24" i="21"/>
  <c r="Q24" i="21" s="1" a="1"/>
  <c r="Q24" i="21" s="1"/>
  <c r="T24" i="21"/>
  <c r="M25" i="21"/>
  <c r="S25" i="21"/>
  <c r="M26" i="21"/>
  <c r="M27" i="21"/>
  <c r="S27" i="21" s="1"/>
  <c r="M28" i="21"/>
  <c r="T28" i="21" s="1"/>
  <c r="M29" i="21"/>
  <c r="M30" i="21"/>
  <c r="Q30" i="21" a="1"/>
  <c r="Q30" i="21" s="1"/>
  <c r="M31" i="21"/>
  <c r="S31" i="21"/>
  <c r="M32" i="21"/>
  <c r="M33" i="21"/>
  <c r="T33" i="21"/>
  <c r="M34" i="21"/>
  <c r="S34" i="21"/>
  <c r="M35" i="21"/>
  <c r="S35" i="21"/>
  <c r="M36" i="21"/>
  <c r="M37" i="21"/>
  <c r="M38" i="21"/>
  <c r="M39" i="21"/>
  <c r="S39" i="21"/>
  <c r="M40" i="21"/>
  <c r="S40" i="21" s="1"/>
  <c r="M41" i="21"/>
  <c r="Q41" i="21" a="1"/>
  <c r="Q41" i="21" s="1"/>
  <c r="M42" i="21"/>
  <c r="Q42" i="21" a="1"/>
  <c r="Q42" i="21" s="1"/>
  <c r="M43" i="21"/>
  <c r="S43" i="21"/>
  <c r="M44" i="21"/>
  <c r="S44" i="2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D102" i="11" s="1"/>
  <c r="C103" i="11"/>
  <c r="D103" i="11" s="1"/>
  <c r="C104" i="11"/>
  <c r="B101" i="11"/>
  <c r="B102" i="11"/>
  <c r="B103" i="11"/>
  <c r="B104" i="11"/>
  <c r="C85" i="11"/>
  <c r="C87" i="11"/>
  <c r="C88" i="11"/>
  <c r="C89" i="11"/>
  <c r="C90" i="11"/>
  <c r="C91" i="11"/>
  <c r="D91" i="11" s="1"/>
  <c r="C92" i="11"/>
  <c r="C93" i="11"/>
  <c r="D93" i="11" s="1"/>
  <c r="C94" i="11"/>
  <c r="C95" i="11"/>
  <c r="C96" i="11"/>
  <c r="B85" i="11"/>
  <c r="B87" i="11"/>
  <c r="B88" i="11"/>
  <c r="B89" i="11"/>
  <c r="B90" i="11"/>
  <c r="B91" i="11"/>
  <c r="B92" i="11"/>
  <c r="B93" i="11"/>
  <c r="B94" i="11"/>
  <c r="B95" i="11"/>
  <c r="B96" i="11"/>
  <c r="A70" i="11"/>
  <c r="C67" i="11"/>
  <c r="C68" i="11"/>
  <c r="C69" i="11"/>
  <c r="C70" i="11"/>
  <c r="B67" i="11"/>
  <c r="B68" i="11"/>
  <c r="B69" i="11"/>
  <c r="B70" i="11"/>
  <c r="D70" i="11" s="1"/>
  <c r="A62" i="11"/>
  <c r="A54" i="11"/>
  <c r="A38" i="11"/>
  <c r="A26" i="11"/>
  <c r="C31" i="11"/>
  <c r="C32" i="11"/>
  <c r="C33" i="11"/>
  <c r="C34" i="11"/>
  <c r="D34" i="11" s="1"/>
  <c r="C35" i="11"/>
  <c r="D35" i="11" s="1"/>
  <c r="C36" i="11"/>
  <c r="D36" i="11" s="1"/>
  <c r="C37" i="11"/>
  <c r="C38" i="11"/>
  <c r="D38" i="11" s="1"/>
  <c r="B31" i="11"/>
  <c r="B32" i="11"/>
  <c r="B33" i="11"/>
  <c r="B34" i="11"/>
  <c r="B35" i="11"/>
  <c r="B36" i="11"/>
  <c r="B37" i="11"/>
  <c r="B38" i="11"/>
  <c r="C24" i="11"/>
  <c r="D24" i="11" s="1"/>
  <c r="C25" i="11"/>
  <c r="D25" i="11" s="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55" i="20" s="1"/>
  <c r="AQ355" i="20" s="1"/>
  <c r="AP347" i="20"/>
  <c r="AP346" i="20"/>
  <c r="AJ770" i="20"/>
  <c r="AJ754" i="20"/>
  <c r="AJ742" i="20"/>
  <c r="AJ726" i="20"/>
  <c r="AJ676" i="20"/>
  <c r="AJ629" i="20"/>
  <c r="T798" i="20"/>
  <c r="AO64" i="20"/>
  <c r="AO63" i="20"/>
  <c r="AO65" i="20" s="1"/>
  <c r="AK78" i="20" s="1"/>
  <c r="AK180" i="20" s="1"/>
  <c r="T800" i="20" s="1"/>
  <c r="AF800" i="20" s="1"/>
  <c r="AO62" i="20"/>
  <c r="A3" i="15"/>
  <c r="AY1015" i="3"/>
  <c r="T11" i="4"/>
  <c r="R10" i="4"/>
  <c r="R91" i="4"/>
  <c r="B59" i="4"/>
  <c r="C80" i="11"/>
  <c r="C81" i="11"/>
  <c r="B80" i="11"/>
  <c r="B81" i="11"/>
  <c r="I96" i="13"/>
  <c r="J96" i="13"/>
  <c r="J81" i="13"/>
  <c r="I81" i="13"/>
  <c r="G81" i="13"/>
  <c r="F81" i="13"/>
  <c r="D81" i="13"/>
  <c r="C81" i="13"/>
  <c r="H80" i="13"/>
  <c r="E80" i="13"/>
  <c r="B80" i="13"/>
  <c r="R79" i="4"/>
  <c r="R81" i="4" s="1"/>
  <c r="S70" i="4"/>
  <c r="E70" i="13" s="1"/>
  <c r="D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c r="B9" i="8"/>
  <c r="G9" i="8"/>
  <c r="B11" i="8"/>
  <c r="G11" i="8"/>
  <c r="B12" i="8"/>
  <c r="G12" i="8"/>
  <c r="B13" i="8"/>
  <c r="G13" i="8" s="1"/>
  <c r="B14" i="8"/>
  <c r="G14" i="8"/>
  <c r="B15" i="8"/>
  <c r="G15" i="8" s="1"/>
  <c r="B16" i="8"/>
  <c r="G16" i="8"/>
  <c r="B17" i="8"/>
  <c r="G17" i="8" s="1"/>
  <c r="B18" i="8"/>
  <c r="G18" i="8"/>
  <c r="B19" i="8"/>
  <c r="G19" i="8"/>
  <c r="B20" i="8"/>
  <c r="G20" i="8"/>
  <c r="B21" i="8"/>
  <c r="G21" i="8"/>
  <c r="B22" i="8"/>
  <c r="G22" i="8" s="1"/>
  <c r="B23" i="8"/>
  <c r="G23" i="8" s="1"/>
  <c r="B24" i="8"/>
  <c r="G24" i="8"/>
  <c r="B25" i="8"/>
  <c r="G25" i="8"/>
  <c r="B26" i="8"/>
  <c r="G26" i="8"/>
  <c r="B27" i="8"/>
  <c r="G27" i="8"/>
  <c r="B38" i="8"/>
  <c r="G38" i="8"/>
  <c r="AI20" i="15"/>
  <c r="AI22" i="15"/>
  <c r="AD20" i="15"/>
  <c r="AD22" i="15"/>
  <c r="Y20" i="15"/>
  <c r="Y22" i="15"/>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0" i="13"/>
  <c r="E49" i="13"/>
  <c r="E48" i="13"/>
  <c r="E47"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G63" i="13" s="1"/>
  <c r="G97" i="13" s="1"/>
  <c r="G105" i="13" s="1"/>
  <c r="G107" i="13" s="1"/>
  <c r="F54" i="13"/>
  <c r="D54" i="13"/>
  <c r="C54" i="13"/>
  <c r="J42" i="13"/>
  <c r="I42" i="13"/>
  <c r="G42" i="13"/>
  <c r="F42" i="13"/>
  <c r="F26" i="13"/>
  <c r="F38" i="13"/>
  <c r="D42" i="13"/>
  <c r="C42" i="13"/>
  <c r="J38" i="13"/>
  <c r="I38" i="13"/>
  <c r="G38" i="13"/>
  <c r="D38" i="13"/>
  <c r="C38" i="13"/>
  <c r="J26" i="13"/>
  <c r="I26" i="13"/>
  <c r="I11" i="13"/>
  <c r="G26" i="13"/>
  <c r="D26" i="13"/>
  <c r="C26" i="13"/>
  <c r="J11" i="13"/>
  <c r="D11" i="13"/>
  <c r="D63" i="13" s="1"/>
  <c r="D97" i="13" s="1"/>
  <c r="D105" i="13" s="1"/>
  <c r="C11" i="13"/>
  <c r="C8" i="13"/>
  <c r="C63" i="13" s="1"/>
  <c r="C97" i="13" s="1"/>
  <c r="C105" i="13" s="1"/>
  <c r="D8" i="13"/>
  <c r="T104" i="4"/>
  <c r="H104" i="13"/>
  <c r="R103" i="4"/>
  <c r="R102" i="4"/>
  <c r="R101" i="4"/>
  <c r="R99" i="4"/>
  <c r="R104" i="4" s="1"/>
  <c r="R95" i="4"/>
  <c r="R94" i="4"/>
  <c r="R93" i="4"/>
  <c r="R92" i="4"/>
  <c r="R90" i="4"/>
  <c r="R89" i="4"/>
  <c r="R88" i="4"/>
  <c r="R87" i="4"/>
  <c r="R86" i="4"/>
  <c r="R85" i="4"/>
  <c r="R76" i="4"/>
  <c r="R72" i="4"/>
  <c r="R73" i="4"/>
  <c r="R74" i="4"/>
  <c r="R69" i="4"/>
  <c r="R70" i="4" s="1"/>
  <c r="R65" i="4"/>
  <c r="R61" i="4"/>
  <c r="R60" i="4"/>
  <c r="R59" i="4"/>
  <c r="R58" i="4"/>
  <c r="R57" i="4"/>
  <c r="R56" i="4"/>
  <c r="R53" i="4"/>
  <c r="R52" i="4"/>
  <c r="R51" i="4"/>
  <c r="R50" i="4"/>
  <c r="R49" i="4"/>
  <c r="R48" i="4"/>
  <c r="R47" i="4"/>
  <c r="R46" i="4"/>
  <c r="R43" i="4"/>
  <c r="R41" i="4"/>
  <c r="R40" i="4"/>
  <c r="R37" i="4"/>
  <c r="R35" i="4"/>
  <c r="R34" i="4"/>
  <c r="R33" i="4"/>
  <c r="R32" i="4"/>
  <c r="R30" i="4"/>
  <c r="R29" i="4"/>
  <c r="R27" i="4"/>
  <c r="R25" i="4"/>
  <c r="R23" i="4"/>
  <c r="R22" i="4"/>
  <c r="R21" i="4"/>
  <c r="R20" i="4"/>
  <c r="R19" i="4"/>
  <c r="R18" i="4"/>
  <c r="R17" i="4"/>
  <c r="R26" i="4" s="1"/>
  <c r="R15" i="4"/>
  <c r="R14" i="4"/>
  <c r="R13" i="4"/>
  <c r="R9" i="4"/>
  <c r="R11" i="4"/>
  <c r="R7" i="4"/>
  <c r="R6" i="4"/>
  <c r="R5" i="4"/>
  <c r="R4" i="4"/>
  <c r="R8" i="4" s="1"/>
  <c r="B5" i="11"/>
  <c r="C5" i="11"/>
  <c r="B6" i="11"/>
  <c r="D6" i="11" s="1"/>
  <c r="C6" i="11"/>
  <c r="B7" i="11"/>
  <c r="C7" i="11"/>
  <c r="D7" i="11" s="1"/>
  <c r="C8" i="11"/>
  <c r="B8" i="11"/>
  <c r="D8" i="11" s="1"/>
  <c r="B10" i="11"/>
  <c r="B11" i="11"/>
  <c r="B12" i="11" s="1"/>
  <c r="C10" i="11"/>
  <c r="C11" i="11"/>
  <c r="C12" i="11" s="1"/>
  <c r="B14" i="11"/>
  <c r="D14" i="11" s="1"/>
  <c r="C14" i="11"/>
  <c r="B15" i="11"/>
  <c r="D15" i="11" s="1"/>
  <c r="C15" i="11"/>
  <c r="B16" i="11"/>
  <c r="C16" i="11"/>
  <c r="D16" i="11" s="1"/>
  <c r="B18" i="11"/>
  <c r="C18" i="11"/>
  <c r="D18" i="11" s="1"/>
  <c r="B19" i="11"/>
  <c r="C19" i="11"/>
  <c r="D19" i="11" s="1"/>
  <c r="B20" i="11"/>
  <c r="C20" i="11"/>
  <c r="D20" i="11" s="1"/>
  <c r="B21" i="11"/>
  <c r="D21" i="11" s="1"/>
  <c r="C21" i="11"/>
  <c r="B22" i="11"/>
  <c r="D22" i="11" s="1"/>
  <c r="C22" i="11"/>
  <c r="B23" i="11"/>
  <c r="C23" i="11"/>
  <c r="D23" i="11" s="1"/>
  <c r="B24" i="11"/>
  <c r="B28" i="11"/>
  <c r="C28" i="11"/>
  <c r="B30" i="11"/>
  <c r="C30" i="11"/>
  <c r="D33" i="11"/>
  <c r="B41" i="11"/>
  <c r="C41" i="11"/>
  <c r="C42" i="11"/>
  <c r="B42" i="11"/>
  <c r="B44" i="11"/>
  <c r="C44" i="11"/>
  <c r="D44" i="11" s="1"/>
  <c r="B46" i="11"/>
  <c r="C46" i="11"/>
  <c r="B47" i="11"/>
  <c r="C47" i="11"/>
  <c r="B48" i="11"/>
  <c r="B49" i="11"/>
  <c r="B50" i="11"/>
  <c r="B51" i="11"/>
  <c r="B52" i="11"/>
  <c r="B53" i="11"/>
  <c r="C48" i="11"/>
  <c r="C49" i="11"/>
  <c r="C50" i="11"/>
  <c r="C51" i="11"/>
  <c r="C52" i="11"/>
  <c r="C53" i="11"/>
  <c r="B57" i="11"/>
  <c r="C57" i="11"/>
  <c r="B58" i="11"/>
  <c r="D58" i="11" s="1"/>
  <c r="C58" i="11"/>
  <c r="B59" i="11"/>
  <c r="C59" i="11"/>
  <c r="B60" i="11"/>
  <c r="C60" i="11"/>
  <c r="D60" i="11" s="1"/>
  <c r="B61" i="11"/>
  <c r="C61" i="11"/>
  <c r="B62" i="11"/>
  <c r="C62" i="11"/>
  <c r="B66" i="11"/>
  <c r="C66" i="11"/>
  <c r="B73" i="11"/>
  <c r="D73" i="11" s="1"/>
  <c r="C73" i="11"/>
  <c r="B74" i="11"/>
  <c r="C74" i="11"/>
  <c r="B75" i="11"/>
  <c r="C75" i="11"/>
  <c r="D75" i="11" s="1"/>
  <c r="B76" i="11"/>
  <c r="C76" i="11"/>
  <c r="B77" i="11"/>
  <c r="C77" i="11"/>
  <c r="D77" i="11" s="1"/>
  <c r="B84" i="11"/>
  <c r="C84" i="11"/>
  <c r="D84" i="11" s="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T63" i="4" s="1"/>
  <c r="T42" i="4"/>
  <c r="H42" i="13" s="1"/>
  <c r="T54" i="4"/>
  <c r="H54" i="13"/>
  <c r="T70" i="4"/>
  <c r="H70" i="13"/>
  <c r="T96" i="4"/>
  <c r="H96" i="13"/>
  <c r="C11" i="4"/>
  <c r="B26" i="13"/>
  <c r="C38" i="4"/>
  <c r="B38" i="13" s="1"/>
  <c r="C54" i="4"/>
  <c r="B54" i="13" s="1"/>
  <c r="C62" i="4"/>
  <c r="B62" i="13" s="1"/>
  <c r="C77" i="4"/>
  <c r="B77" i="13" s="1"/>
  <c r="C96" i="4"/>
  <c r="B96" i="13" s="1"/>
  <c r="B104" i="13"/>
  <c r="D8" i="4"/>
  <c r="D11" i="4"/>
  <c r="D26" i="4"/>
  <c r="D38" i="4"/>
  <c r="D63" i="4" s="1"/>
  <c r="D97" i="4" s="1"/>
  <c r="D105" i="4" s="1"/>
  <c r="D42" i="4"/>
  <c r="D54" i="4"/>
  <c r="D62" i="4"/>
  <c r="D77" i="4"/>
  <c r="D96" i="4"/>
  <c r="D104" i="4"/>
  <c r="B104" i="4"/>
  <c r="E26" i="13"/>
  <c r="S42" i="4"/>
  <c r="E42" i="13" s="1"/>
  <c r="S54" i="4"/>
  <c r="E54" i="13" s="1"/>
  <c r="S96" i="4"/>
  <c r="E96" i="13" s="1"/>
  <c r="S104" i="4"/>
  <c r="E104" i="13"/>
  <c r="F2" i="4"/>
  <c r="G2" i="4"/>
  <c r="H2" i="4"/>
  <c r="I2" i="4"/>
  <c r="J2" i="4"/>
  <c r="K2" i="4"/>
  <c r="L2" i="4"/>
  <c r="M2" i="4"/>
  <c r="N2" i="4"/>
  <c r="O2" i="4"/>
  <c r="P2" i="4"/>
  <c r="Q2" i="4"/>
  <c r="B4" i="4"/>
  <c r="B5" i="4"/>
  <c r="B6" i="4"/>
  <c r="B7" i="4"/>
  <c r="E8" i="4"/>
  <c r="F8" i="4"/>
  <c r="G8" i="4"/>
  <c r="G63" i="4" s="1"/>
  <c r="G97" i="4" s="1"/>
  <c r="G105" i="4" s="1"/>
  <c r="G11" i="4"/>
  <c r="H8" i="4"/>
  <c r="H11" i="4"/>
  <c r="I8" i="4"/>
  <c r="I11" i="4"/>
  <c r="I63" i="4" s="1"/>
  <c r="I97" i="4" s="1"/>
  <c r="J8" i="4"/>
  <c r="J12" i="4" s="1"/>
  <c r="J11" i="4"/>
  <c r="J26" i="4"/>
  <c r="J38" i="4"/>
  <c r="J42" i="4"/>
  <c r="J54" i="4"/>
  <c r="J62" i="4"/>
  <c r="J70" i="4"/>
  <c r="J77" i="4"/>
  <c r="J96" i="4"/>
  <c r="J104" i="4"/>
  <c r="K8" i="4"/>
  <c r="K12" i="4" s="1"/>
  <c r="K11" i="4"/>
  <c r="L8" i="4"/>
  <c r="L12" i="4" s="1"/>
  <c r="L11" i="4"/>
  <c r="M8" i="4"/>
  <c r="M11" i="4"/>
  <c r="N8" i="4"/>
  <c r="O8" i="4"/>
  <c r="O12" i="4" s="1"/>
  <c r="Q8" i="4"/>
  <c r="Q11" i="4"/>
  <c r="Q63" i="4" s="1"/>
  <c r="Q97" i="4" s="1"/>
  <c r="Q105" i="4" s="1"/>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63" i="4" s="1"/>
  <c r="P97" i="4" s="1"/>
  <c r="P105" i="4" s="1"/>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c r="AP571" i="20" s="1"/>
  <c r="Y596"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X730" i="3"/>
  <c r="AH730" i="3" s="1"/>
  <c r="X731" i="3"/>
  <c r="AH731" i="3" s="1"/>
  <c r="X732" i="3"/>
  <c r="AH732" i="3" s="1"/>
  <c r="X733" i="3"/>
  <c r="AH733" i="3" s="1"/>
  <c r="X734" i="3"/>
  <c r="AH734" i="3" s="1"/>
  <c r="X735" i="3"/>
  <c r="AH735" i="3" s="1"/>
  <c r="X736" i="3"/>
  <c r="AH736" i="3" s="1"/>
  <c r="X737" i="3"/>
  <c r="AH737" i="3" s="1"/>
  <c r="X738" i="3"/>
  <c r="AH738" i="3" s="1"/>
  <c r="X739" i="3"/>
  <c r="AH739" i="3" s="1"/>
  <c r="X740" i="3"/>
  <c r="AH740" i="3" s="1"/>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D53" i="11"/>
  <c r="J63" i="13"/>
  <c r="J97" i="13"/>
  <c r="J105" i="13"/>
  <c r="J107" i="13"/>
  <c r="G12" i="4"/>
  <c r="L63" i="4"/>
  <c r="L97" i="4" s="1"/>
  <c r="L105" i="4" s="1"/>
  <c r="Q12" i="4"/>
  <c r="B11" i="4"/>
  <c r="B8" i="4"/>
  <c r="D10" i="11"/>
  <c r="D94" i="11"/>
  <c r="F63" i="4"/>
  <c r="F97" i="4" s="1"/>
  <c r="F105" i="4" s="1"/>
  <c r="D95" i="11"/>
  <c r="B11" i="13"/>
  <c r="D12" i="4"/>
  <c r="D31" i="11"/>
  <c r="D32" i="11"/>
  <c r="D87" i="11"/>
  <c r="N63" i="4"/>
  <c r="N97" i="4" s="1"/>
  <c r="N105" i="4" s="1"/>
  <c r="N12" i="4"/>
  <c r="F12" i="4"/>
  <c r="M12" i="4"/>
  <c r="R42" i="4"/>
  <c r="D90" i="11"/>
  <c r="D92" i="11"/>
  <c r="D28" i="11"/>
  <c r="D88" i="11"/>
  <c r="AD199" i="20"/>
  <c r="B42" i="4"/>
  <c r="D47" i="11"/>
  <c r="M63" i="4"/>
  <c r="M97" i="4" s="1"/>
  <c r="M105" i="4" s="1"/>
  <c r="B62" i="4"/>
  <c r="D104" i="11"/>
  <c r="D11" i="11"/>
  <c r="C12" i="4"/>
  <c r="B12" i="13" s="1"/>
  <c r="D96" i="11"/>
  <c r="AA29" i="7"/>
  <c r="R44" i="21"/>
  <c r="O29" i="7"/>
  <c r="C798" i="3"/>
  <c r="G40" i="7"/>
  <c r="G43" i="7"/>
  <c r="Y29" i="7"/>
  <c r="G30" i="7"/>
  <c r="I30" i="7" s="1"/>
  <c r="K30" i="7" s="1"/>
  <c r="M30" i="7" s="1"/>
  <c r="O30" i="7" s="1"/>
  <c r="Q30" i="7" s="1"/>
  <c r="S30" i="7" s="1"/>
  <c r="U30" i="7" s="1"/>
  <c r="W30" i="7" s="1"/>
  <c r="Y30" i="7" s="1"/>
  <c r="AA30" i="7" s="1"/>
  <c r="AC30" i="7" s="1"/>
  <c r="AE30" i="7" s="1"/>
  <c r="AG30" i="7" s="1"/>
  <c r="G31" i="7"/>
  <c r="I31" i="7"/>
  <c r="K31" i="7"/>
  <c r="M31" i="7"/>
  <c r="O31" i="7"/>
  <c r="Q31" i="7"/>
  <c r="S31" i="7"/>
  <c r="U31" i="7"/>
  <c r="W31" i="7"/>
  <c r="Y31" i="7"/>
  <c r="AA31" i="7"/>
  <c r="AC31" i="7"/>
  <c r="AE31" i="7"/>
  <c r="AG31" i="7"/>
  <c r="AY1010" i="3"/>
  <c r="AF1016" i="3"/>
  <c r="AJ1015" i="3"/>
  <c r="AP364" i="20"/>
  <c r="AQ364" i="20"/>
  <c r="AK524" i="20"/>
  <c r="T802" i="20"/>
  <c r="AF802" i="20"/>
  <c r="Y7" i="15"/>
  <c r="AI7" i="15"/>
  <c r="DX597" i="3"/>
  <c r="AG29" i="7"/>
  <c r="AO641" i="3"/>
  <c r="AM566" i="3" s="1"/>
  <c r="K29" i="7"/>
  <c r="S29" i="7"/>
  <c r="AG28" i="7"/>
  <c r="U28" i="7"/>
  <c r="Q28" i="7"/>
  <c r="W28" i="7"/>
  <c r="I28" i="7"/>
  <c r="O28" i="7"/>
  <c r="G28" i="7"/>
  <c r="M28" i="7"/>
  <c r="K28" i="7"/>
  <c r="AG40" i="7"/>
  <c r="AG43" i="7"/>
  <c r="S40" i="7"/>
  <c r="S43" i="7"/>
  <c r="AO17" i="20"/>
  <c r="AO36" i="20"/>
  <c r="AK56" i="20"/>
  <c r="T44" i="21"/>
  <c r="P44" i="21" a="1"/>
  <c r="P44" i="21" s="1"/>
  <c r="Q21" i="21" a="1"/>
  <c r="Q21" i="21" s="1"/>
  <c r="T21" i="21"/>
  <c r="G32" i="7"/>
  <c r="I32" i="7"/>
  <c r="K32" i="7"/>
  <c r="M32" i="7"/>
  <c r="O32" i="7"/>
  <c r="Q32" i="7"/>
  <c r="S32" i="7"/>
  <c r="U32" i="7"/>
  <c r="W32" i="7"/>
  <c r="Y32" i="7"/>
  <c r="AA32" i="7"/>
  <c r="AC32" i="7"/>
  <c r="AE32" i="7"/>
  <c r="AG32" i="7"/>
  <c r="AC40" i="7"/>
  <c r="AC43" i="7"/>
  <c r="I40" i="7"/>
  <c r="I43" i="7" s="1"/>
  <c r="T30" i="21"/>
  <c r="P43" i="21" a="1"/>
  <c r="P43" i="21" s="1"/>
  <c r="G33" i="7"/>
  <c r="I33" i="7"/>
  <c r="K33" i="7"/>
  <c r="M33" i="7"/>
  <c r="O33" i="7"/>
  <c r="Q33" i="7"/>
  <c r="S33" i="7"/>
  <c r="U33" i="7"/>
  <c r="W33" i="7"/>
  <c r="Y33" i="7"/>
  <c r="AA33" i="7"/>
  <c r="AC33" i="7"/>
  <c r="AE33" i="7"/>
  <c r="AG33" i="7"/>
  <c r="K40" i="7"/>
  <c r="K43" i="7" s="1"/>
  <c r="G26" i="7"/>
  <c r="I26" i="7"/>
  <c r="K26" i="7"/>
  <c r="M26" i="7"/>
  <c r="O26" i="7"/>
  <c r="Q26" i="7"/>
  <c r="S26" i="7"/>
  <c r="U26" i="7"/>
  <c r="W26" i="7"/>
  <c r="Y26" i="7"/>
  <c r="AA26" i="7"/>
  <c r="AC26" i="7"/>
  <c r="AE26" i="7"/>
  <c r="AG26" i="7"/>
  <c r="G27" i="7"/>
  <c r="I27" i="7" s="1"/>
  <c r="K27" i="7" s="1"/>
  <c r="M27" i="7" s="1"/>
  <c r="O27" i="7" s="1"/>
  <c r="Q27" i="7" s="1"/>
  <c r="S27" i="7" s="1"/>
  <c r="U27" i="7" s="1"/>
  <c r="W27" i="7" s="1"/>
  <c r="Y27" i="7" s="1"/>
  <c r="AA27" i="7" s="1"/>
  <c r="AC27" i="7" s="1"/>
  <c r="AE27" i="7" s="1"/>
  <c r="AG27" i="7" s="1"/>
  <c r="I29" i="7"/>
  <c r="Q28" i="21" a="1"/>
  <c r="Q28" i="21" s="1"/>
  <c r="S24" i="21"/>
  <c r="B27" i="11"/>
  <c r="D26" i="1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c r="W29" i="7"/>
  <c r="O40" i="7"/>
  <c r="O43" i="7"/>
  <c r="U29" i="7"/>
  <c r="Q25" i="21" a="1"/>
  <c r="Q25" i="21" s="1"/>
  <c r="S36" i="21"/>
  <c r="T38" i="21"/>
  <c r="S42" i="21"/>
  <c r="T27" i="21"/>
  <c r="BS641" i="3"/>
  <c r="BW642" i="3" s="1"/>
  <c r="S33" i="21"/>
  <c r="CM641" i="3"/>
  <c r="CQ642" i="3" s="1"/>
  <c r="BX641" i="3"/>
  <c r="CB642" i="3" s="1"/>
  <c r="Q39" i="21" a="1"/>
  <c r="Q39" i="21" s="1"/>
  <c r="Q27" i="21" a="1"/>
  <c r="Q27" i="21" s="1"/>
  <c r="CH641" i="3"/>
  <c r="CL642" i="3" s="1"/>
  <c r="CM655" i="3"/>
  <c r="CQ656" i="3"/>
  <c r="AC797" i="3"/>
  <c r="G8" i="7"/>
  <c r="G9" i="7"/>
  <c r="E9" i="7"/>
  <c r="CX655" i="3"/>
  <c r="Q35" i="21" a="1"/>
  <c r="Q35" i="21" s="1"/>
  <c r="Q43" i="21" a="1"/>
  <c r="Q43" i="21" s="1"/>
  <c r="Q31" i="21" a="1"/>
  <c r="Q31" i="21" s="1"/>
  <c r="R987" i="3"/>
  <c r="G112" i="21" s="1"/>
  <c r="G114" i="21" s="1"/>
  <c r="I15" i="21" s="1"/>
  <c r="R986" i="3"/>
  <c r="R985" i="3"/>
  <c r="S41" i="21"/>
  <c r="O44" i="21"/>
  <c r="T41" i="21"/>
  <c r="Q23" i="21" a="1"/>
  <c r="Q23" i="21" s="1"/>
  <c r="E98" i="20"/>
  <c r="Q40" i="21" a="1"/>
  <c r="Q40" i="21" s="1"/>
  <c r="T40" i="21"/>
  <c r="Q29" i="21" a="1"/>
  <c r="Q29" i="21" s="1"/>
  <c r="Q34" i="21" a="1"/>
  <c r="Q34" i="21" s="1"/>
  <c r="T35" i="21"/>
  <c r="T23" i="21"/>
  <c r="R989" i="3"/>
  <c r="BX655" i="3"/>
  <c r="CB656" i="3"/>
  <c r="DC652" i="3"/>
  <c r="DC655" i="3"/>
  <c r="Q32" i="21" a="1"/>
  <c r="Q32" i="21" s="1"/>
  <c r="T32" i="21"/>
  <c r="S32" i="21"/>
  <c r="S26" i="21"/>
  <c r="T26" i="21"/>
  <c r="Q26" i="21" a="1"/>
  <c r="Q26" i="21" s="1"/>
  <c r="BS655" i="3"/>
  <c r="BW656" i="3"/>
  <c r="T20" i="21"/>
  <c r="T37" i="21"/>
  <c r="Q37" i="21" a="1"/>
  <c r="Q37" i="21" s="1"/>
  <c r="S37" i="21"/>
  <c r="DR655" i="3"/>
  <c r="CH655" i="3"/>
  <c r="CL656" i="3"/>
  <c r="DM645" i="3"/>
  <c r="DM655" i="3"/>
  <c r="DH655" i="3"/>
  <c r="AC884" i="3"/>
  <c r="CC655" i="3"/>
  <c r="CG656" i="3"/>
  <c r="CS648" i="3"/>
  <c r="CS655" i="3"/>
  <c r="BN655" i="3"/>
  <c r="T36" i="21"/>
  <c r="T31" i="21"/>
  <c r="Q36" i="21" a="1"/>
  <c r="Q36" i="21" s="1"/>
  <c r="T39" i="21"/>
  <c r="Q22" i="21" a="1"/>
  <c r="Q22" i="21" s="1"/>
  <c r="S38" i="21"/>
  <c r="S29" i="21"/>
  <c r="S20" i="21"/>
  <c r="T29" i="21"/>
  <c r="Q38" i="21" a="1"/>
  <c r="Q38" i="21" s="1"/>
  <c r="Q20" i="21" a="1"/>
  <c r="Q20" i="21" s="1"/>
  <c r="R43" i="21"/>
  <c r="T43" i="21"/>
  <c r="T42" i="21"/>
  <c r="T34" i="21"/>
  <c r="G19" i="7"/>
  <c r="I19" i="7" s="1"/>
  <c r="K19" i="7" s="1"/>
  <c r="M19" i="7" s="1"/>
  <c r="O19" i="7" s="1"/>
  <c r="Q19" i="7" s="1"/>
  <c r="S19" i="7" s="1"/>
  <c r="U19" i="7" s="1"/>
  <c r="W19" i="7" s="1"/>
  <c r="Y19" i="7" s="1"/>
  <c r="AA19" i="7" s="1"/>
  <c r="AC19" i="7" s="1"/>
  <c r="AE19" i="7" s="1"/>
  <c r="AG19" i="7" s="1"/>
  <c r="Q33" i="21" a="1"/>
  <c r="Q33" i="21" s="1"/>
  <c r="T25" i="21"/>
  <c r="O43" i="21"/>
  <c r="T793" i="20"/>
  <c r="AF793" i="20"/>
  <c r="I8" i="7"/>
  <c r="I9" i="7"/>
  <c r="BR656" i="3"/>
  <c r="CS658" i="3"/>
  <c r="CS657" i="3"/>
  <c r="DR657" i="3"/>
  <c r="K8" i="7"/>
  <c r="M8" i="7"/>
  <c r="K9" i="7"/>
  <c r="M9" i="7"/>
  <c r="O8" i="7"/>
  <c r="O9" i="7"/>
  <c r="Q8" i="7"/>
  <c r="Q9" i="7"/>
  <c r="S8" i="7"/>
  <c r="U8" i="7"/>
  <c r="S9" i="7"/>
  <c r="U9" i="7"/>
  <c r="W8" i="7"/>
  <c r="W9" i="7"/>
  <c r="Y8" i="7"/>
  <c r="Y9" i="7"/>
  <c r="AA8" i="7"/>
  <c r="AC8" i="7"/>
  <c r="AA9" i="7"/>
  <c r="AC9" i="7"/>
  <c r="AE8" i="7"/>
  <c r="AE9" i="7"/>
  <c r="AG8" i="7"/>
  <c r="AG9" i="7"/>
  <c r="AD68" i="15" l="1"/>
  <c r="D42" i="11"/>
  <c r="B43" i="11"/>
  <c r="D74" i="11"/>
  <c r="R75" i="4"/>
  <c r="R77" i="4" s="1"/>
  <c r="E54" i="4"/>
  <c r="E63" i="4" s="1"/>
  <c r="E97" i="4" s="1"/>
  <c r="E105" i="4" s="1"/>
  <c r="J63" i="4"/>
  <c r="J97" i="4" s="1"/>
  <c r="J105" i="4" s="1"/>
  <c r="AG445" i="3"/>
  <c r="AI27" i="15" s="1"/>
  <c r="BG243" i="3"/>
  <c r="BO245" i="3" s="1"/>
  <c r="T267" i="3" s="1"/>
  <c r="AP576" i="20"/>
  <c r="T805" i="20"/>
  <c r="T804" i="20"/>
  <c r="AF804" i="20" s="1"/>
  <c r="AS349" i="20"/>
  <c r="AS351" i="20"/>
  <c r="AS347" i="20" s="1"/>
  <c r="AK458" i="20" s="1"/>
  <c r="T806" i="20" s="1"/>
  <c r="AF806" i="20" s="1"/>
  <c r="AB223" i="20"/>
  <c r="AB239" i="20" s="1"/>
  <c r="AB241" i="20" s="1"/>
  <c r="AB243" i="20" s="1"/>
  <c r="AB249" i="20" s="1"/>
  <c r="AD198" i="20" s="1"/>
  <c r="AD200" i="20" s="1"/>
  <c r="AK172" i="20"/>
  <c r="T797" i="20"/>
  <c r="AF797" i="20" s="1"/>
  <c r="T794" i="20"/>
  <c r="AF794" i="20" s="1"/>
  <c r="G67" i="21"/>
  <c r="AK783" i="20"/>
  <c r="T808" i="20" s="1"/>
  <c r="AF808" i="20" s="1"/>
  <c r="R62" i="4"/>
  <c r="R54" i="4"/>
  <c r="H63" i="4"/>
  <c r="H97" i="4" s="1"/>
  <c r="H105" i="4" s="1"/>
  <c r="R38" i="4"/>
  <c r="I105" i="4"/>
  <c r="S38" i="4"/>
  <c r="E38" i="13" s="1"/>
  <c r="H63" i="13"/>
  <c r="T97" i="4"/>
  <c r="C39" i="11"/>
  <c r="H12" i="4"/>
  <c r="H38" i="13"/>
  <c r="D5" i="11"/>
  <c r="B82" i="11"/>
  <c r="K63" i="4"/>
  <c r="K97" i="4" s="1"/>
  <c r="K105" i="4" s="1"/>
  <c r="I12" i="4"/>
  <c r="D12" i="11"/>
  <c r="D41" i="11"/>
  <c r="D66" i="11"/>
  <c r="D57" i="11"/>
  <c r="D48" i="11"/>
  <c r="C71" i="11"/>
  <c r="D89" i="11"/>
  <c r="D101" i="11"/>
  <c r="D62" i="11"/>
  <c r="D52" i="11"/>
  <c r="O63" i="4"/>
  <c r="O97" i="4" s="1"/>
  <c r="O105" i="4" s="1"/>
  <c r="E12" i="4"/>
  <c r="D27" i="11"/>
  <c r="F63" i="13"/>
  <c r="F97" i="13" s="1"/>
  <c r="F105" i="13" s="1"/>
  <c r="F107" i="13" s="1"/>
  <c r="B86" i="11"/>
  <c r="C43" i="11"/>
  <c r="D43" i="11" s="1"/>
  <c r="D61" i="11"/>
  <c r="D50" i="11"/>
  <c r="B55" i="11"/>
  <c r="D54" i="11"/>
  <c r="D12" i="13"/>
  <c r="B81" i="13"/>
  <c r="C78" i="11"/>
  <c r="D59" i="11"/>
  <c r="C27" i="11"/>
  <c r="C12" i="13"/>
  <c r="D30" i="11"/>
  <c r="D81" i="11"/>
  <c r="D51" i="11"/>
  <c r="D46" i="11"/>
  <c r="B63" i="11"/>
  <c r="D85" i="11"/>
  <c r="C105" i="11"/>
  <c r="D105" i="11" s="1"/>
  <c r="C9" i="11"/>
  <c r="B9" i="11"/>
  <c r="B13" i="11" s="1"/>
  <c r="S63" i="4"/>
  <c r="B78" i="11"/>
  <c r="D78" i="11" s="1"/>
  <c r="B77" i="4"/>
  <c r="D76" i="11"/>
  <c r="B71" i="11"/>
  <c r="D71" i="11" s="1"/>
  <c r="C63" i="11"/>
  <c r="B96" i="4"/>
  <c r="B97" i="11"/>
  <c r="D100" i="11"/>
  <c r="C82" i="11"/>
  <c r="D82" i="11" s="1"/>
  <c r="D80" i="11"/>
  <c r="B39" i="11"/>
  <c r="B38" i="4"/>
  <c r="C55" i="11"/>
  <c r="D55" i="11" s="1"/>
  <c r="B54" i="4"/>
  <c r="C63" i="4"/>
  <c r="B63" i="13" s="1"/>
  <c r="R12" i="4"/>
  <c r="B12" i="4"/>
  <c r="N187" i="27"/>
  <c r="R96" i="4"/>
  <c r="C97" i="11"/>
  <c r="D97" i="11" s="1"/>
  <c r="N186" i="27"/>
  <c r="D86" i="11"/>
  <c r="G58" i="7"/>
  <c r="I58" i="7"/>
  <c r="K54" i="7"/>
  <c r="AC883" i="3"/>
  <c r="AC885" i="3" s="1"/>
  <c r="AC28" i="7"/>
  <c r="S28" i="7"/>
  <c r="AE28" i="7"/>
  <c r="Y28" i="7"/>
  <c r="E22" i="7"/>
  <c r="E35" i="7" s="1"/>
  <c r="G18" i="7"/>
  <c r="AC777" i="3"/>
  <c r="Y800" i="3" s="1"/>
  <c r="CC641" i="3"/>
  <c r="CG642" i="3" s="1"/>
  <c r="BN641" i="3"/>
  <c r="BR642" i="3" s="1"/>
  <c r="G53" i="21"/>
  <c r="BX632" i="3"/>
  <c r="EH662" i="3" s="1"/>
  <c r="M18" i="21"/>
  <c r="BG703" i="3"/>
  <c r="BH674" i="3" s="1"/>
  <c r="BI674" i="3" s="1"/>
  <c r="J40" i="8"/>
  <c r="Z809" i="3" s="1"/>
  <c r="E6" i="7" s="1"/>
  <c r="G6" i="7" s="1"/>
  <c r="DR632" i="3"/>
  <c r="BK632" i="3"/>
  <c r="X1051" i="3" s="1"/>
  <c r="BG632" i="3"/>
  <c r="X1047" i="3" s="1"/>
  <c r="E99" i="20"/>
  <c r="BT703" i="3"/>
  <c r="BU682" i="3" s="1"/>
  <c r="BV682" i="3" s="1"/>
  <c r="AY1002" i="3"/>
  <c r="I1047" i="3" s="1"/>
  <c r="T22" i="21"/>
  <c r="G35" i="21" s="1" a="1"/>
  <c r="G35" i="21" s="1"/>
  <c r="G36" i="21" s="1"/>
  <c r="S18" i="21"/>
  <c r="G44" i="21" s="1"/>
  <c r="BN632" i="3"/>
  <c r="DX647" i="3" s="1"/>
  <c r="AX679" i="20"/>
  <c r="G40" i="8"/>
  <c r="E25" i="21"/>
  <c r="E26" i="21"/>
  <c r="DM632" i="3"/>
  <c r="E22" i="21"/>
  <c r="F22" i="21" s="1"/>
  <c r="G22" i="21" s="1"/>
  <c r="E24" i="21"/>
  <c r="DC632" i="3"/>
  <c r="CS632" i="3"/>
  <c r="CX632" i="3"/>
  <c r="DX632" i="3"/>
  <c r="EH647" i="3"/>
  <c r="EH651" i="3"/>
  <c r="AH29" i="27"/>
  <c r="AZ846" i="3"/>
  <c r="AZ851" i="3" s="1"/>
  <c r="J26" i="27"/>
  <c r="DH632" i="3"/>
  <c r="EH657" i="3"/>
  <c r="EH665" i="3"/>
  <c r="EH655" i="3"/>
  <c r="EH658" i="3"/>
  <c r="EH642" i="3"/>
  <c r="EH661" i="3"/>
  <c r="E23" i="21"/>
  <c r="F23" i="21" s="1"/>
  <c r="G23" i="21" s="1"/>
  <c r="J21" i="27"/>
  <c r="EH652" i="3"/>
  <c r="EH649" i="3"/>
  <c r="EH632" i="3"/>
  <c r="BS632" i="3"/>
  <c r="EC660" i="3" s="1"/>
  <c r="EW632" i="3"/>
  <c r="ER632" i="3"/>
  <c r="AN29" i="27"/>
  <c r="J24" i="27"/>
  <c r="P29" i="27"/>
  <c r="J19" i="27"/>
  <c r="AB29" i="27"/>
  <c r="J20" i="27"/>
  <c r="V29" i="27"/>
  <c r="J25" i="27"/>
  <c r="J23" i="27"/>
  <c r="AV116" i="20"/>
  <c r="AW113" i="20" s="1"/>
  <c r="J22" i="27"/>
  <c r="EM632" i="3"/>
  <c r="J27" i="27"/>
  <c r="EH668" i="3"/>
  <c r="EH638" i="3"/>
  <c r="BX660" i="3"/>
  <c r="AB987" i="3" s="1"/>
  <c r="AJ987" i="3" s="1"/>
  <c r="EH666" i="3"/>
  <c r="EH656" i="3"/>
  <c r="EH664" i="3"/>
  <c r="EH669" i="3"/>
  <c r="EH646" i="3"/>
  <c r="EH650" i="3"/>
  <c r="EH659" i="3"/>
  <c r="EH653" i="3"/>
  <c r="EH644" i="3"/>
  <c r="EH645" i="3"/>
  <c r="I14" i="21"/>
  <c r="EC597" i="3"/>
  <c r="EH637" i="3"/>
  <c r="EH640" i="3"/>
  <c r="EH635" i="3"/>
  <c r="EH667" i="3"/>
  <c r="CC632" i="3"/>
  <c r="EM635" i="3" s="1"/>
  <c r="CB634" i="3"/>
  <c r="EH639" i="3"/>
  <c r="EH663" i="3"/>
  <c r="CM632" i="3"/>
  <c r="CH632" i="3"/>
  <c r="ER635" i="3" s="1"/>
  <c r="EH636" i="3"/>
  <c r="EH654" i="3"/>
  <c r="EH660" i="3"/>
  <c r="EH648" i="3"/>
  <c r="EH643" i="3"/>
  <c r="EH641" i="3"/>
  <c r="B63" i="4" l="1"/>
  <c r="AD27" i="15"/>
  <c r="T27" i="15"/>
  <c r="Y27" i="15"/>
  <c r="R63" i="4"/>
  <c r="R97" i="4" s="1"/>
  <c r="R105" i="4" s="1"/>
  <c r="D9" i="11"/>
  <c r="T105" i="4"/>
  <c r="H97" i="13"/>
  <c r="C13" i="11"/>
  <c r="D13" i="11" s="1"/>
  <c r="D63" i="11"/>
  <c r="B64" i="11"/>
  <c r="B98" i="11" s="1"/>
  <c r="B106" i="11" s="1"/>
  <c r="N193" i="27"/>
  <c r="E63" i="13"/>
  <c r="S97" i="4"/>
  <c r="C64" i="11"/>
  <c r="D39" i="11"/>
  <c r="C97" i="4"/>
  <c r="B97" i="13" s="1"/>
  <c r="K58" i="7"/>
  <c r="M54" i="7"/>
  <c r="I18" i="7"/>
  <c r="G22" i="7"/>
  <c r="G35" i="7" s="1"/>
  <c r="Y801" i="3"/>
  <c r="E4" i="7" s="1"/>
  <c r="G4" i="7" s="1"/>
  <c r="I4" i="7" s="1"/>
  <c r="CS642" i="3"/>
  <c r="CS641" i="3"/>
  <c r="O41" i="21"/>
  <c r="P41" i="21" s="1" a="1"/>
  <c r="P41" i="21" s="1"/>
  <c r="R41" i="21" s="1"/>
  <c r="O42" i="21"/>
  <c r="P42" i="21" s="1" a="1"/>
  <c r="P42" i="21" s="1"/>
  <c r="R42" i="21" s="1"/>
  <c r="O34" i="21"/>
  <c r="P34" i="21" s="1" a="1"/>
  <c r="P34" i="21" s="1"/>
  <c r="R34" i="21" s="1"/>
  <c r="O40" i="21"/>
  <c r="P40" i="21" s="1" a="1"/>
  <c r="P40" i="21" s="1"/>
  <c r="R40" i="21" s="1"/>
  <c r="O39" i="21"/>
  <c r="P39" i="21" s="1" a="1"/>
  <c r="P39" i="21" s="1"/>
  <c r="R39" i="21" s="1"/>
  <c r="O38" i="21"/>
  <c r="P38" i="21" s="1" a="1"/>
  <c r="P38" i="21" s="1"/>
  <c r="R38" i="21" s="1"/>
  <c r="O37" i="21"/>
  <c r="P37" i="21" s="1" a="1"/>
  <c r="P37" i="21" s="1"/>
  <c r="R37" i="21" s="1"/>
  <c r="O36" i="21"/>
  <c r="P36" i="21" s="1" a="1"/>
  <c r="P36" i="21" s="1"/>
  <c r="R36" i="21" s="1"/>
  <c r="O35" i="21"/>
  <c r="P35" i="21" s="1" a="1"/>
  <c r="P35" i="21" s="1"/>
  <c r="R35" i="21" s="1"/>
  <c r="O31" i="21"/>
  <c r="P31" i="21" s="1" a="1"/>
  <c r="P31" i="21" s="1"/>
  <c r="R31" i="21" s="1"/>
  <c r="O33" i="21"/>
  <c r="P33" i="21" s="1" a="1"/>
  <c r="P33" i="21" s="1"/>
  <c r="R33" i="21" s="1"/>
  <c r="O32" i="21"/>
  <c r="P32" i="21" s="1" a="1"/>
  <c r="P32" i="21" s="1"/>
  <c r="R32" i="21" s="1"/>
  <c r="O30" i="21"/>
  <c r="P30" i="21" s="1" a="1"/>
  <c r="P30" i="21" s="1"/>
  <c r="R30" i="21" s="1"/>
  <c r="O24" i="21"/>
  <c r="P24" i="21" s="1" a="1"/>
  <c r="P24" i="21" s="1"/>
  <c r="R24" i="21" s="1"/>
  <c r="O29" i="21"/>
  <c r="P29" i="21" s="1" a="1"/>
  <c r="P29" i="21" s="1"/>
  <c r="R29" i="21" s="1"/>
  <c r="BH689" i="3"/>
  <c r="BI689" i="3" s="1"/>
  <c r="O28" i="21"/>
  <c r="P28" i="21" s="1" a="1"/>
  <c r="P28" i="21" s="1"/>
  <c r="R28" i="21" s="1"/>
  <c r="BH695" i="3"/>
  <c r="BI695" i="3" s="1"/>
  <c r="BH685" i="3"/>
  <c r="BI685" i="3" s="1"/>
  <c r="O27" i="21"/>
  <c r="P27" i="21" s="1" a="1"/>
  <c r="P27" i="21" s="1"/>
  <c r="R27" i="21" s="1"/>
  <c r="BH679" i="3"/>
  <c r="BI679" i="3" s="1"/>
  <c r="BH699" i="3"/>
  <c r="BI699" i="3" s="1"/>
  <c r="BH700" i="3"/>
  <c r="BI700" i="3" s="1"/>
  <c r="BH696" i="3"/>
  <c r="BI696" i="3" s="1"/>
  <c r="BH702" i="3"/>
  <c r="BI702" i="3" s="1"/>
  <c r="BH698" i="3"/>
  <c r="BI698" i="3" s="1"/>
  <c r="BU689" i="3"/>
  <c r="BV689" i="3" s="1"/>
  <c r="BH701" i="3"/>
  <c r="BI701" i="3" s="1"/>
  <c r="BH683" i="3"/>
  <c r="BI683" i="3" s="1"/>
  <c r="BH676" i="3"/>
  <c r="BI676" i="3" s="1"/>
  <c r="BU688" i="3"/>
  <c r="BV688" i="3" s="1"/>
  <c r="BH687" i="3"/>
  <c r="BI687" i="3" s="1"/>
  <c r="O26" i="21"/>
  <c r="P26" i="21" s="1" a="1"/>
  <c r="P26" i="21" s="1"/>
  <c r="R26" i="21" s="1"/>
  <c r="BH669" i="3"/>
  <c r="BI669" i="3" s="1"/>
  <c r="BH693" i="3"/>
  <c r="BI693" i="3" s="1"/>
  <c r="BU676" i="3"/>
  <c r="BV676" i="3" s="1"/>
  <c r="BH690" i="3"/>
  <c r="BI690" i="3" s="1"/>
  <c r="BH692" i="3"/>
  <c r="BI692" i="3" s="1"/>
  <c r="BH677" i="3"/>
  <c r="BI677" i="3" s="1"/>
  <c r="BH671" i="3"/>
  <c r="BI671" i="3" s="1"/>
  <c r="BH691" i="3"/>
  <c r="BI691" i="3" s="1"/>
  <c r="BH684" i="3"/>
  <c r="BI684" i="3" s="1"/>
  <c r="BH688" i="3"/>
  <c r="BI688" i="3" s="1"/>
  <c r="BH670" i="3"/>
  <c r="BI670" i="3" s="1"/>
  <c r="BH694" i="3"/>
  <c r="BI694" i="3" s="1"/>
  <c r="BH686" i="3"/>
  <c r="BI686" i="3" s="1"/>
  <c r="BH680" i="3"/>
  <c r="BI680" i="3" s="1"/>
  <c r="BH673" i="3"/>
  <c r="BI673" i="3" s="1"/>
  <c r="BH672" i="3"/>
  <c r="BI672" i="3" s="1"/>
  <c r="BH682" i="3"/>
  <c r="BI682" i="3" s="1"/>
  <c r="BH681" i="3"/>
  <c r="BI681" i="3" s="1"/>
  <c r="BH668" i="3"/>
  <c r="BI668" i="3" s="1"/>
  <c r="BH678" i="3"/>
  <c r="BI678" i="3" s="1"/>
  <c r="BH675" i="3"/>
  <c r="BI675" i="3" s="1"/>
  <c r="BH697" i="3"/>
  <c r="BI697" i="3" s="1"/>
  <c r="E7" i="7"/>
  <c r="AY1004" i="3"/>
  <c r="AG1044" i="3"/>
  <c r="AG1048" i="3"/>
  <c r="O25" i="21"/>
  <c r="P25" i="21" s="1" a="1"/>
  <c r="P25" i="21" s="1"/>
  <c r="R25" i="21" s="1"/>
  <c r="BU700" i="3"/>
  <c r="BV700" i="3" s="1"/>
  <c r="BU673" i="3"/>
  <c r="BV673" i="3" s="1"/>
  <c r="BU694" i="3"/>
  <c r="BV694" i="3" s="1"/>
  <c r="BU681" i="3"/>
  <c r="BV681" i="3" s="1"/>
  <c r="BU701" i="3"/>
  <c r="BV701" i="3" s="1"/>
  <c r="BU690" i="3"/>
  <c r="BV690" i="3" s="1"/>
  <c r="DX656" i="3"/>
  <c r="BU695" i="3"/>
  <c r="BV695" i="3" s="1"/>
  <c r="BU671" i="3"/>
  <c r="BV671" i="3" s="1"/>
  <c r="BU698" i="3"/>
  <c r="BV698" i="3" s="1"/>
  <c r="BU686" i="3"/>
  <c r="BV686" i="3" s="1"/>
  <c r="BU692" i="3"/>
  <c r="BV692" i="3" s="1"/>
  <c r="BU674" i="3"/>
  <c r="BV674" i="3" s="1"/>
  <c r="BU670" i="3"/>
  <c r="BV670" i="3" s="1"/>
  <c r="BU672" i="3"/>
  <c r="BV672" i="3" s="1"/>
  <c r="BU697" i="3"/>
  <c r="BV697" i="3" s="1"/>
  <c r="BU693" i="3"/>
  <c r="BV693" i="3" s="1"/>
  <c r="BU668" i="3"/>
  <c r="BV668" i="3" s="1"/>
  <c r="BU678" i="3"/>
  <c r="BV678" i="3" s="1"/>
  <c r="BU699" i="3"/>
  <c r="BV699" i="3" s="1"/>
  <c r="BU679" i="3"/>
  <c r="BV679" i="3" s="1"/>
  <c r="BU702" i="3"/>
  <c r="BV702" i="3" s="1"/>
  <c r="BU677" i="3"/>
  <c r="BV677" i="3" s="1"/>
  <c r="BU691" i="3"/>
  <c r="BV691" i="3" s="1"/>
  <c r="I1051" i="3"/>
  <c r="AY1005" i="3" s="1"/>
  <c r="BU675" i="3"/>
  <c r="BV675" i="3" s="1"/>
  <c r="BU669" i="3"/>
  <c r="BV669" i="3" s="1"/>
  <c r="BU685" i="3"/>
  <c r="BV685" i="3" s="1"/>
  <c r="BU683" i="3"/>
  <c r="BV683" i="3" s="1"/>
  <c r="BU687" i="3"/>
  <c r="BV687" i="3" s="1"/>
  <c r="BU684" i="3"/>
  <c r="BV684" i="3" s="1"/>
  <c r="BU696" i="3"/>
  <c r="BV696" i="3" s="1"/>
  <c r="BU680" i="3"/>
  <c r="BV680" i="3" s="1"/>
  <c r="DX649" i="3"/>
  <c r="DX666" i="3"/>
  <c r="DX642" i="3"/>
  <c r="DX650" i="3"/>
  <c r="BN660" i="3"/>
  <c r="AB985" i="3" s="1"/>
  <c r="AJ985" i="3" s="1"/>
  <c r="O22" i="21"/>
  <c r="P22" i="21" s="1" a="1"/>
  <c r="P22" i="21" s="1"/>
  <c r="R22" i="21" s="1"/>
  <c r="O23" i="21"/>
  <c r="P23" i="21" s="1" a="1"/>
  <c r="P23" i="21" s="1"/>
  <c r="R23" i="21" s="1"/>
  <c r="DX637" i="3"/>
  <c r="DX651" i="3"/>
  <c r="DX669" i="3"/>
  <c r="DX636" i="3"/>
  <c r="DX661" i="3"/>
  <c r="DX655" i="3"/>
  <c r="DX635" i="3"/>
  <c r="DX662" i="3"/>
  <c r="DX643" i="3"/>
  <c r="DX659" i="3"/>
  <c r="DX640" i="3"/>
  <c r="DX641" i="3"/>
  <c r="DX652" i="3"/>
  <c r="DX660" i="3"/>
  <c r="DX668" i="3"/>
  <c r="DX663" i="3"/>
  <c r="DX657" i="3"/>
  <c r="DX658" i="3"/>
  <c r="DX638" i="3"/>
  <c r="BR634" i="3"/>
  <c r="DX654" i="3"/>
  <c r="DX665" i="3"/>
  <c r="DX639" i="3"/>
  <c r="DX667" i="3"/>
  <c r="DX664" i="3"/>
  <c r="DX648" i="3"/>
  <c r="DX646" i="3"/>
  <c r="DX653" i="3"/>
  <c r="DX644" i="3"/>
  <c r="DX645" i="3"/>
  <c r="O20" i="21"/>
  <c r="P20" i="21" s="1" a="1"/>
  <c r="P20" i="21" s="1"/>
  <c r="R20" i="21" s="1"/>
  <c r="O21" i="21"/>
  <c r="P21" i="21" s="1" a="1"/>
  <c r="P21" i="21" s="1"/>
  <c r="R21" i="21" s="1"/>
  <c r="G7" i="7"/>
  <c r="I6" i="7"/>
  <c r="EC643" i="3"/>
  <c r="EC646" i="3"/>
  <c r="EC657" i="3"/>
  <c r="BS660" i="3"/>
  <c r="AB986" i="3" s="1"/>
  <c r="AJ986" i="3" s="1"/>
  <c r="EC662" i="3"/>
  <c r="BW634" i="3"/>
  <c r="EC644" i="3"/>
  <c r="EC637" i="3"/>
  <c r="EC640" i="3"/>
  <c r="EC652" i="3"/>
  <c r="EC650" i="3"/>
  <c r="EC642" i="3"/>
  <c r="EC649" i="3"/>
  <c r="EC645" i="3"/>
  <c r="EC664" i="3"/>
  <c r="EC639" i="3"/>
  <c r="EC661" i="3"/>
  <c r="EC648" i="3"/>
  <c r="EC659" i="3"/>
  <c r="EC666" i="3"/>
  <c r="EC654" i="3"/>
  <c r="EC665" i="3"/>
  <c r="EC651" i="3"/>
  <c r="CM633" i="3"/>
  <c r="EC669" i="3"/>
  <c r="EC656" i="3"/>
  <c r="EC638" i="3"/>
  <c r="EC663" i="3"/>
  <c r="EC653" i="3"/>
  <c r="EC636" i="3"/>
  <c r="EC647" i="3"/>
  <c r="EC655" i="3"/>
  <c r="EC667" i="3"/>
  <c r="E27" i="21"/>
  <c r="G45" i="21" s="1"/>
  <c r="G47" i="21" s="1"/>
  <c r="G49" i="21" s="1"/>
  <c r="E11" i="21" s="1"/>
  <c r="EC658" i="3"/>
  <c r="EC668" i="3"/>
  <c r="EC641" i="3"/>
  <c r="EW659" i="3"/>
  <c r="EW653" i="3"/>
  <c r="EW638" i="3"/>
  <c r="EW664" i="3"/>
  <c r="EW639" i="3"/>
  <c r="EW636" i="3"/>
  <c r="CQ634" i="3"/>
  <c r="EW662" i="3"/>
  <c r="EW648" i="3"/>
  <c r="EW669" i="3"/>
  <c r="AX682" i="20"/>
  <c r="EW661" i="3"/>
  <c r="CM660" i="3"/>
  <c r="EW652" i="3"/>
  <c r="EW646" i="3"/>
  <c r="EW643" i="3"/>
  <c r="EW647" i="3"/>
  <c r="EW645" i="3"/>
  <c r="EW637" i="3"/>
  <c r="EW665" i="3"/>
  <c r="EW641" i="3"/>
  <c r="EW657" i="3"/>
  <c r="EW658" i="3"/>
  <c r="EW644" i="3"/>
  <c r="EW642" i="3"/>
  <c r="EW666" i="3"/>
  <c r="EW656" i="3"/>
  <c r="EW668" i="3"/>
  <c r="EW651" i="3"/>
  <c r="EW663" i="3"/>
  <c r="EW650" i="3"/>
  <c r="EW649" i="3"/>
  <c r="EW660" i="3"/>
  <c r="EW654" i="3"/>
  <c r="EW667" i="3"/>
  <c r="EW655" i="3"/>
  <c r="EW640" i="3"/>
  <c r="AW110" i="20"/>
  <c r="J29" i="27"/>
  <c r="AT23" i="27" s="1"/>
  <c r="AW115" i="20"/>
  <c r="ER661" i="3"/>
  <c r="ER640" i="3"/>
  <c r="ER649" i="3"/>
  <c r="ER658" i="3"/>
  <c r="ER652" i="3"/>
  <c r="ER637" i="3"/>
  <c r="ER643" i="3"/>
  <c r="ER639" i="3"/>
  <c r="ER663" i="3"/>
  <c r="ER641" i="3"/>
  <c r="ER656" i="3"/>
  <c r="AX681" i="20"/>
  <c r="ER644" i="3"/>
  <c r="ER654" i="3"/>
  <c r="ER668" i="3"/>
  <c r="ER665" i="3"/>
  <c r="ER655" i="3"/>
  <c r="ER666" i="3"/>
  <c r="ER648" i="3"/>
  <c r="ER645" i="3"/>
  <c r="ER660" i="3"/>
  <c r="CL634" i="3"/>
  <c r="ER669" i="3"/>
  <c r="ER667" i="3"/>
  <c r="CH660" i="3"/>
  <c r="ER653" i="3"/>
  <c r="ER662" i="3"/>
  <c r="ER636" i="3"/>
  <c r="ER664" i="3"/>
  <c r="ER647" i="3"/>
  <c r="ER638" i="3"/>
  <c r="ER642" i="3"/>
  <c r="ER646" i="3"/>
  <c r="ER659" i="3"/>
  <c r="ER651" i="3"/>
  <c r="ER657" i="3"/>
  <c r="ER650" i="3"/>
  <c r="EM658" i="3"/>
  <c r="EM646" i="3"/>
  <c r="EM647" i="3"/>
  <c r="EM662" i="3"/>
  <c r="EM653" i="3"/>
  <c r="EM639" i="3"/>
  <c r="EM667" i="3"/>
  <c r="EM654" i="3"/>
  <c r="EM664" i="3"/>
  <c r="EM641" i="3"/>
  <c r="EM649" i="3"/>
  <c r="EM642" i="3"/>
  <c r="EM660" i="3"/>
  <c r="CG634" i="3"/>
  <c r="EM656" i="3"/>
  <c r="EM669" i="3"/>
  <c r="EM645" i="3"/>
  <c r="AX680" i="20"/>
  <c r="EM644" i="3"/>
  <c r="EM665" i="3"/>
  <c r="EM651" i="3"/>
  <c r="EM652" i="3"/>
  <c r="EM637" i="3"/>
  <c r="EM638" i="3"/>
  <c r="EM663" i="3"/>
  <c r="EM657" i="3"/>
  <c r="EM648" i="3"/>
  <c r="EM659" i="3"/>
  <c r="CC660" i="3"/>
  <c r="AB988" i="3" s="1"/>
  <c r="AJ988" i="3" s="1"/>
  <c r="EM655" i="3"/>
  <c r="EM666" i="3"/>
  <c r="EM636" i="3"/>
  <c r="EM650" i="3"/>
  <c r="EM668" i="3"/>
  <c r="EM643" i="3"/>
  <c r="EM661" i="3"/>
  <c r="EM640" i="3"/>
  <c r="AW112" i="20"/>
  <c r="AW114" i="20"/>
  <c r="EW635" i="3"/>
  <c r="EC635" i="3"/>
  <c r="EC632" i="3"/>
  <c r="EH670" i="3"/>
  <c r="O124" i="20" s="1"/>
  <c r="O127" i="20" s="1"/>
  <c r="AW111" i="20"/>
  <c r="T107" i="4" l="1"/>
  <c r="H107" i="13" s="1"/>
  <c r="H105" i="13"/>
  <c r="D64" i="11"/>
  <c r="E97" i="13"/>
  <c r="S105" i="4"/>
  <c r="C98" i="11"/>
  <c r="C106" i="11" s="1"/>
  <c r="D106" i="11" s="1"/>
  <c r="C105" i="4"/>
  <c r="B97" i="4"/>
  <c r="M58" i="7"/>
  <c r="O54" i="7"/>
  <c r="K18" i="7"/>
  <c r="I22" i="7"/>
  <c r="I35" i="7" s="1"/>
  <c r="Z818" i="3"/>
  <c r="G5" i="7"/>
  <c r="G11" i="7" s="1"/>
  <c r="G37" i="7" s="1"/>
  <c r="G49" i="7" s="1"/>
  <c r="E5" i="7"/>
  <c r="BI703" i="3"/>
  <c r="AC753" i="3" s="1"/>
  <c r="E87" i="20" s="1"/>
  <c r="E88" i="20" s="1"/>
  <c r="E89" i="20" s="1"/>
  <c r="BH703" i="3"/>
  <c r="E11" i="7"/>
  <c r="E37" i="7" s="1"/>
  <c r="E45" i="7" s="1"/>
  <c r="E47" i="7" s="1"/>
  <c r="BV703" i="3"/>
  <c r="AH753" i="3" s="1"/>
  <c r="BU703" i="3"/>
  <c r="DX670" i="3"/>
  <c r="E124" i="20" s="1"/>
  <c r="E127" i="20" s="1"/>
  <c r="E130" i="20" s="1"/>
  <c r="G38" i="21"/>
  <c r="G40" i="21" s="1"/>
  <c r="E10" i="21" s="1"/>
  <c r="K6" i="7"/>
  <c r="I7" i="7"/>
  <c r="AW116" i="20"/>
  <c r="I5" i="7"/>
  <c r="K4" i="7"/>
  <c r="G54" i="21"/>
  <c r="G56" i="21" s="1"/>
  <c r="G58" i="21" s="1"/>
  <c r="E12" i="21" s="1"/>
  <c r="F25" i="21"/>
  <c r="G25" i="21" s="1"/>
  <c r="F26" i="21"/>
  <c r="G26" i="21" s="1"/>
  <c r="EM670" i="3"/>
  <c r="T124" i="20" s="1"/>
  <c r="T127" i="20" s="1"/>
  <c r="T130" i="20" s="1"/>
  <c r="AT20" i="27"/>
  <c r="AT22" i="27"/>
  <c r="EC670" i="3"/>
  <c r="J124" i="20" s="1"/>
  <c r="J127" i="20" s="1"/>
  <c r="J130" i="20" s="1"/>
  <c r="AX683" i="20"/>
  <c r="AX684" i="20" s="1"/>
  <c r="AO684" i="20" s="1"/>
  <c r="AT19" i="27"/>
  <c r="CS634" i="3"/>
  <c r="CS660" i="3" s="1"/>
  <c r="U362" i="20" s="1"/>
  <c r="ER670" i="3"/>
  <c r="Y124" i="20" s="1"/>
  <c r="Y127" i="20" s="1"/>
  <c r="Y130" i="20" s="1"/>
  <c r="EW670" i="3"/>
  <c r="AD124" i="20" s="1"/>
  <c r="AD127" i="20" s="1"/>
  <c r="AD130" i="20" s="1"/>
  <c r="AT27" i="27"/>
  <c r="AY45" i="27"/>
  <c r="AY46" i="27"/>
  <c r="AY37" i="27"/>
  <c r="AY47" i="27"/>
  <c r="AT29" i="27"/>
  <c r="AY39" i="27"/>
  <c r="AY36" i="27"/>
  <c r="AY40" i="27"/>
  <c r="AT28" i="27"/>
  <c r="AY44" i="27"/>
  <c r="AY38" i="27"/>
  <c r="AY42" i="27"/>
  <c r="AY43" i="27"/>
  <c r="AY41" i="27"/>
  <c r="AT26" i="27"/>
  <c r="AT21" i="27"/>
  <c r="O130" i="20"/>
  <c r="AB989" i="3"/>
  <c r="AJ989" i="3" s="1"/>
  <c r="AJ991" i="3" s="1"/>
  <c r="AJ1048" i="3" s="1"/>
  <c r="AP542" i="20" s="1"/>
  <c r="AT25" i="27"/>
  <c r="AT24" i="27"/>
  <c r="AG258" i="20" l="1"/>
  <c r="AC455" i="3"/>
  <c r="AD11" i="15"/>
  <c r="AD23" i="15" s="1"/>
  <c r="AD26" i="15" s="1"/>
  <c r="AD28" i="15" s="1"/>
  <c r="AI11" i="15"/>
  <c r="AI23" i="15" s="1"/>
  <c r="AI26" i="15" s="1"/>
  <c r="AI28" i="15" s="1"/>
  <c r="E105" i="13"/>
  <c r="S107" i="4"/>
  <c r="AC456" i="3" s="1"/>
  <c r="D98" i="11"/>
  <c r="B105" i="13"/>
  <c r="B105" i="4"/>
  <c r="O58" i="7"/>
  <c r="Q54" i="7"/>
  <c r="M18" i="7"/>
  <c r="K22" i="7"/>
  <c r="K35" i="7" s="1"/>
  <c r="E97" i="20"/>
  <c r="E100" i="20" s="1"/>
  <c r="AP100" i="20" s="1"/>
  <c r="AK103" i="20" s="1"/>
  <c r="T795" i="20" s="1"/>
  <c r="AF795" i="20" s="1"/>
  <c r="E49" i="7"/>
  <c r="AJ1044" i="3"/>
  <c r="AP541" i="20" s="1"/>
  <c r="I11" i="7"/>
  <c r="I37" i="7" s="1"/>
  <c r="I45" i="7" s="1"/>
  <c r="E60" i="7"/>
  <c r="E66" i="7" s="1"/>
  <c r="E48" i="7"/>
  <c r="G45" i="7"/>
  <c r="G47" i="7" s="1"/>
  <c r="M4" i="7"/>
  <c r="K5" i="7"/>
  <c r="M6" i="7"/>
  <c r="K7" i="7"/>
  <c r="AY684" i="20"/>
  <c r="P421" i="3"/>
  <c r="F24" i="21"/>
  <c r="G24" i="21" s="1"/>
  <c r="O756" i="3"/>
  <c r="E132" i="20"/>
  <c r="E133" i="20" s="1"/>
  <c r="AK137" i="20" s="1"/>
  <c r="T796" i="20" s="1"/>
  <c r="AF796" i="20" s="1"/>
  <c r="AP539" i="20"/>
  <c r="B1059" i="3"/>
  <c r="AP694" i="20"/>
  <c r="AP695" i="20"/>
  <c r="AB990" i="3"/>
  <c r="AB255" i="20" l="1"/>
  <c r="AG257" i="20" s="1"/>
  <c r="AG259" i="20" s="1"/>
  <c r="AK262" i="20" s="1"/>
  <c r="T801" i="20" s="1"/>
  <c r="AF801" i="20" s="1"/>
  <c r="AC454" i="3"/>
  <c r="F457" i="3" s="1"/>
  <c r="AF540" i="20"/>
  <c r="E107" i="13"/>
  <c r="AB47" i="15"/>
  <c r="AB49" i="15" s="1"/>
  <c r="AB54" i="15" s="1"/>
  <c r="AB55" i="15" s="1"/>
  <c r="N183" i="27"/>
  <c r="N184" i="27" s="1"/>
  <c r="Q58" i="7"/>
  <c r="S54" i="7"/>
  <c r="M22" i="7"/>
  <c r="M35" i="7" s="1"/>
  <c r="O18" i="7"/>
  <c r="AJ1052" i="3"/>
  <c r="AP546" i="20" s="1"/>
  <c r="AP545" i="20" s="1"/>
  <c r="AP543" i="20"/>
  <c r="I49" i="7"/>
  <c r="E70" i="7"/>
  <c r="E62" i="7"/>
  <c r="G60" i="7"/>
  <c r="G66" i="7" s="1"/>
  <c r="G48" i="7"/>
  <c r="K11" i="7"/>
  <c r="K37" i="7" s="1"/>
  <c r="K45" i="7" s="1"/>
  <c r="I48" i="7"/>
  <c r="I47" i="7"/>
  <c r="I60" i="7"/>
  <c r="M7" i="7"/>
  <c r="O6" i="7"/>
  <c r="O4" i="7"/>
  <c r="M5" i="7"/>
  <c r="F27" i="21"/>
  <c r="G27" i="21"/>
  <c r="G104" i="21" s="1"/>
  <c r="G106" i="21" s="1"/>
  <c r="Y11" i="15" l="1"/>
  <c r="Y23" i="15" s="1"/>
  <c r="Y26" i="15" s="1"/>
  <c r="Y28" i="15" s="1"/>
  <c r="T11" i="15"/>
  <c r="T23" i="15" s="1"/>
  <c r="N194" i="27"/>
  <c r="U54" i="7"/>
  <c r="S58" i="7"/>
  <c r="O22" i="7"/>
  <c r="O35" i="7" s="1"/>
  <c r="Q18" i="7"/>
  <c r="T24" i="15"/>
  <c r="AP548" i="20"/>
  <c r="AF541" i="20" s="1"/>
  <c r="AF542" i="20" s="1"/>
  <c r="AK548" i="20" s="1"/>
  <c r="T807" i="20" s="1"/>
  <c r="AF807" i="20" s="1"/>
  <c r="AF810" i="20" s="1"/>
  <c r="E72" i="7"/>
  <c r="G62" i="7"/>
  <c r="G70" i="7"/>
  <c r="K49" i="7"/>
  <c r="M11" i="7"/>
  <c r="M37" i="7" s="1"/>
  <c r="M45" i="7" s="1"/>
  <c r="K47" i="7"/>
  <c r="K48" i="7"/>
  <c r="K60" i="7"/>
  <c r="O7" i="7"/>
  <c r="Q6" i="7"/>
  <c r="I62" i="7"/>
  <c r="I66" i="7"/>
  <c r="O5" i="7"/>
  <c r="Q4" i="7"/>
  <c r="G29" i="21"/>
  <c r="G31" i="21" s="1"/>
  <c r="E9" i="21" s="1"/>
  <c r="G64" i="21"/>
  <c r="G65" i="21" s="1"/>
  <c r="G79" i="21"/>
  <c r="G95" i="21"/>
  <c r="G96" i="21" s="1"/>
  <c r="E14" i="21" s="1"/>
  <c r="E15" i="21" s="1"/>
  <c r="AD38" i="15" l="1"/>
  <c r="AD40" i="15" s="1"/>
  <c r="T26" i="15"/>
  <c r="T28" i="15" s="1"/>
  <c r="T29" i="15" s="1"/>
  <c r="Y64" i="15"/>
  <c r="Y68" i="15" s="1"/>
  <c r="U58" i="7"/>
  <c r="W54" i="7"/>
  <c r="Q22" i="7"/>
  <c r="Q35" i="7" s="1"/>
  <c r="S18" i="7"/>
  <c r="G72" i="7"/>
  <c r="G81" i="21"/>
  <c r="G69" i="21"/>
  <c r="M49" i="7"/>
  <c r="O11" i="7"/>
  <c r="O37" i="7" s="1"/>
  <c r="O45" i="7" s="1"/>
  <c r="I70" i="7"/>
  <c r="I72" i="7" s="1"/>
  <c r="Q7" i="7"/>
  <c r="S6" i="7"/>
  <c r="S4" i="7"/>
  <c r="Q5" i="7"/>
  <c r="M47" i="7"/>
  <c r="M60" i="7"/>
  <c r="M48" i="7"/>
  <c r="K66" i="7"/>
  <c r="K62" i="7"/>
  <c r="K67" i="7"/>
  <c r="Y38" i="15" l="1"/>
  <c r="Y40" i="15" s="1"/>
  <c r="Y41" i="15" s="1"/>
  <c r="AB56" i="15" s="1"/>
  <c r="M26" i="3" s="1"/>
  <c r="P204" i="3" s="1"/>
  <c r="W58" i="7"/>
  <c r="Y54" i="7"/>
  <c r="S22" i="7"/>
  <c r="S35" i="7" s="1"/>
  <c r="U18" i="7"/>
  <c r="G83" i="21"/>
  <c r="E13" i="21" s="1"/>
  <c r="E16" i="21" s="1"/>
  <c r="H3" i="21" s="1"/>
  <c r="Q11" i="7"/>
  <c r="Q37" i="7" s="1"/>
  <c r="Q49" i="7" s="1"/>
  <c r="O49" i="7"/>
  <c r="K70" i="7"/>
  <c r="K72" i="7" s="1"/>
  <c r="M66" i="7"/>
  <c r="M62" i="7"/>
  <c r="M67" i="7"/>
  <c r="U4" i="7"/>
  <c r="S5" i="7"/>
  <c r="O47" i="7"/>
  <c r="O60" i="7"/>
  <c r="O48" i="7"/>
  <c r="S7" i="7"/>
  <c r="U6" i="7"/>
  <c r="AB57" i="15" l="1"/>
  <c r="AB59" i="15" s="1"/>
  <c r="AB76" i="15" s="1"/>
  <c r="AB77" i="15" s="1"/>
  <c r="M27" i="3" s="1"/>
  <c r="P205" i="3" s="1"/>
  <c r="AA54" i="7"/>
  <c r="Y58" i="7"/>
  <c r="U22" i="7"/>
  <c r="U35" i="7" s="1"/>
  <c r="W18" i="7"/>
  <c r="Q45" i="7"/>
  <c r="Q48" i="7" s="1"/>
  <c r="M70" i="7"/>
  <c r="M72" i="7" s="1"/>
  <c r="S11" i="7"/>
  <c r="S37" i="7" s="1"/>
  <c r="S49" i="7" s="1"/>
  <c r="O67" i="7"/>
  <c r="O62" i="7"/>
  <c r="O66" i="7"/>
  <c r="U5" i="7"/>
  <c r="W4" i="7"/>
  <c r="U7" i="7"/>
  <c r="W6" i="7"/>
  <c r="AB78" i="15" l="1"/>
  <c r="AB80" i="15" s="1"/>
  <c r="J81" i="15" s="1"/>
  <c r="I10" i="21"/>
  <c r="I11" i="21" s="1"/>
  <c r="I16" i="21" s="1"/>
  <c r="H4" i="21" s="1"/>
  <c r="H5" i="21" s="1"/>
  <c r="AC54" i="7"/>
  <c r="AA58" i="7"/>
  <c r="Y18" i="7"/>
  <c r="W22" i="7"/>
  <c r="W35" i="7" s="1"/>
  <c r="S45" i="7"/>
  <c r="S60" i="7" s="1"/>
  <c r="Q60" i="7"/>
  <c r="Q67" i="7" s="1"/>
  <c r="Q47" i="7"/>
  <c r="U11" i="7"/>
  <c r="U37" i="7" s="1"/>
  <c r="U49" i="7" s="1"/>
  <c r="O70" i="7"/>
  <c r="O72" i="7" s="1"/>
  <c r="Y4" i="7"/>
  <c r="W5" i="7"/>
  <c r="W7" i="7"/>
  <c r="Y6" i="7"/>
  <c r="AE54" i="7" l="1"/>
  <c r="AC58" i="7"/>
  <c r="AA18" i="7"/>
  <c r="Y22" i="7"/>
  <c r="Y35" i="7" s="1"/>
  <c r="U45" i="7"/>
  <c r="U48" i="7" s="1"/>
  <c r="S47" i="7"/>
  <c r="S48" i="7"/>
  <c r="Q66" i="7"/>
  <c r="Q70" i="7" s="1"/>
  <c r="Q62" i="7"/>
  <c r="W11" i="7"/>
  <c r="W37" i="7" s="1"/>
  <c r="W49" i="7" s="1"/>
  <c r="AA4" i="7"/>
  <c r="Y5" i="7"/>
  <c r="AA6" i="7"/>
  <c r="Y7" i="7"/>
  <c r="S67" i="7"/>
  <c r="S66" i="7"/>
  <c r="S62" i="7"/>
  <c r="AG54" i="7" l="1"/>
  <c r="AG58" i="7" s="1"/>
  <c r="AE58" i="7"/>
  <c r="AC18" i="7"/>
  <c r="AA22" i="7"/>
  <c r="AA35" i="7" s="1"/>
  <c r="U47" i="7"/>
  <c r="U60" i="7"/>
  <c r="U62" i="7" s="1"/>
  <c r="Q72" i="7"/>
  <c r="W45" i="7"/>
  <c r="W48" i="7" s="1"/>
  <c r="S70" i="7"/>
  <c r="S72" i="7" s="1"/>
  <c r="Y11" i="7"/>
  <c r="Y37" i="7" s="1"/>
  <c r="Y49" i="7" s="1"/>
  <c r="AC4" i="7"/>
  <c r="AA5" i="7"/>
  <c r="AC6" i="7"/>
  <c r="AA7" i="7"/>
  <c r="AE18" i="7" l="1"/>
  <c r="AC22" i="7"/>
  <c r="AC35" i="7" s="1"/>
  <c r="U67" i="7"/>
  <c r="U66" i="7"/>
  <c r="Y45" i="7"/>
  <c r="Y47" i="7" s="1"/>
  <c r="W47" i="7"/>
  <c r="W60" i="7"/>
  <c r="W62" i="7" s="1"/>
  <c r="AA11" i="7"/>
  <c r="AA37" i="7" s="1"/>
  <c r="AA45" i="7" s="1"/>
  <c r="AC7" i="7"/>
  <c r="AE6" i="7"/>
  <c r="AE4" i="7"/>
  <c r="AC5" i="7"/>
  <c r="W67" i="7" l="1"/>
  <c r="AG18" i="7"/>
  <c r="AG22" i="7" s="1"/>
  <c r="AG35" i="7" s="1"/>
  <c r="AE22" i="7"/>
  <c r="AE35" i="7" s="1"/>
  <c r="AC11" i="7"/>
  <c r="AC37" i="7" s="1"/>
  <c r="AC49" i="7" s="1"/>
  <c r="U70" i="7"/>
  <c r="U72" i="7" s="1"/>
  <c r="Y48" i="7"/>
  <c r="W66" i="7"/>
  <c r="Y60" i="7"/>
  <c r="Y62" i="7" s="1"/>
  <c r="AA49" i="7"/>
  <c r="AE5" i="7"/>
  <c r="AG4" i="7"/>
  <c r="AE7" i="7"/>
  <c r="AG6" i="7"/>
  <c r="AG7" i="7" s="1"/>
  <c r="AA60" i="7"/>
  <c r="AA47" i="7"/>
  <c r="AA48" i="7"/>
  <c r="W70" i="7" l="1"/>
  <c r="W72" i="7" s="1"/>
  <c r="AE11" i="7"/>
  <c r="AE37" i="7" s="1"/>
  <c r="AE49" i="7" s="1"/>
  <c r="AC45" i="7"/>
  <c r="AC48" i="7" s="1"/>
  <c r="Y67" i="7"/>
  <c r="Y66" i="7"/>
  <c r="AG5" i="7"/>
  <c r="AG11" i="7" s="1"/>
  <c r="AG37" i="7" s="1"/>
  <c r="AA66" i="7"/>
  <c r="AA67" i="7"/>
  <c r="AA62" i="7"/>
  <c r="AE45" i="7" l="1"/>
  <c r="AE48" i="7" s="1"/>
  <c r="AC47" i="7"/>
  <c r="AC60" i="7"/>
  <c r="AC66" i="7" s="1"/>
  <c r="Y70" i="7"/>
  <c r="Y72" i="7" s="1"/>
  <c r="AA70" i="7"/>
  <c r="AA72" i="7" s="1"/>
  <c r="AG45" i="7"/>
  <c r="AG49" i="7"/>
  <c r="AC62" i="7" l="1"/>
  <c r="AC67" i="7"/>
  <c r="AC70" i="7" s="1"/>
  <c r="AE47" i="7"/>
  <c r="AE60" i="7"/>
  <c r="AE66" i="7" s="1"/>
  <c r="AG60" i="7"/>
  <c r="AG48" i="7"/>
  <c r="AG47" i="7"/>
  <c r="AE62" i="7"/>
  <c r="AE67" i="7" l="1"/>
  <c r="AC72" i="7"/>
  <c r="AG62" i="7"/>
  <c r="AG66" i="7"/>
  <c r="AG67"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DCF3DD3-32BA-4BA2-B0ED-C0A7D441F2DA}">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<sst xmlns="http://schemas.openxmlformats.org/spreadsheetml/2006/main" count="5348" uniqueCount="2777">
  <si>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</si>
  <si>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</si>
  <si>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</si>
  <si>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</si>
  <si>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</si>
  <si>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</si>
  <si>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</si>
  <si>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</si>
  <si>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</si>
  <si>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</si>
  <si>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</si>
  <si>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</si>
  <si>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</si>
  <si>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</si>
  <si>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</si>
  <si>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</si>
  <si>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</si>
  <si>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</si>
  <si>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</si>
  <si>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</si>
  <si>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</si>
  <si>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</si>
  <si>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</si>
  <si>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</si>
  <si>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</si>
  <si>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</si>
  <si>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</si>
  <si>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</si>
  <si>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</si>
  <si>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</si>
  <si>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</si>
  <si>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</si>
  <si>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</si>
  <si>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</si>
  <si>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</si>
  <si>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</si>
  <si>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</si>
  <si>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</si>
  <si>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</si>
  <si>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</si>
  <si>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</si>
  <si>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</si>
  <si>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</si>
  <si>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</si>
  <si>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</si>
  <si>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</si>
  <si>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</si>
  <si>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</si>
  <si>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</si>
  <si>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</si>
  <si>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</si>
  <si>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</si>
  <si>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</si>
  <si>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</si>
  <si>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</si>
  <si>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</si>
  <si>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</si>
  <si>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</si>
  <si>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</si>
  <si>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</si>
  <si>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</si>
  <si>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</si>
  <si>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</si>
  <si>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</si>
  <si>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</si>
  <si>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</si>
  <si>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</si>
  <si>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</si>
  <si>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</si>
  <si>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</si>
  <si>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</si>
  <si>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</si>
  <si>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</si>
  <si>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</si>
  <si>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</si>
  <si>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</si>
  <si>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</si>
  <si>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</si>
  <si>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</si>
  <si>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</si>
  <si>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</si>
  <si>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</si>
  <si>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</si>
  <si>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</si>
  <si>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</si>
  <si>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</si>
  <si>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</si>
  <si>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</si>
  <si>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</si>
  <si>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</si>
  <si>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</si>
  <si>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</si>
  <si>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</si>
  <si>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</si>
  <si>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</si>
  <si>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</si>
  <si>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</si>
  <si>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</si>
  <si>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</si>
  <si>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</si>
  <si>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</si>
  <si>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</si>
  <si>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</si>
  <si>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</si>
  <si>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</si>
  <si>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</si>
  <si>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</si>
  <si>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</si>
  <si>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</si>
  <si>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</si>
  <si>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</si>
  <si>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</si>
  <si>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</si>
  <si>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</si>
  <si>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</si>
  <si>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</si>
  <si>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</si>
  <si>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</si>
  <si>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</si>
  <si>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</si>
  <si>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</si>
  <si>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</si>
  <si>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</si>
  <si>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</si>
  <si>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</si>
  <si>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</si>
  <si>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</si>
  <si>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</si>
  <si>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</si>
  <si>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</si>
  <si>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</si>
  <si>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</si>
  <si>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</si>
  <si>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</si>
  <si>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</si>
  <si>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</si>
  <si>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</si>
  <si>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</si>
  <si>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</si>
  <si>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</si>
  <si>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</si>
  <si>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</si>
  <si>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</si>
  <si>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</si>
  <si>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</si>
  <si>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</si>
  <si>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</si>
  <si>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</si>
  <si>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</si>
  <si>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</si>
  <si>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</si>
  <si>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</si>
  <si>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</si>
  <si>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</si>
  <si>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</si>
  <si>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</si>
  <si>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</si>
  <si>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</si>
  <si>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</si>
  <si>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</si>
  <si>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</si>
  <si>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</si>
  <si>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</si>
  <si>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</si>
  <si>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</si>
  <si>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</si>
  <si>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</si>
  <si>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</si>
  <si>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</si>
  <si>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</si>
  <si>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</si>
  <si>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</si>
  <si>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</si>
  <si>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</si>
  <si>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</si>
  <si>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</si>
  <si>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</si>
  <si>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</si>
  <si>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</si>
  <si>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</si>
  <si>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</si>
  <si>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</si>
  <si>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</si>
  <si>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</si>
  <si>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</si>
  <si>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</si>
  <si>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</si>
  <si>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</si>
  <si>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</si>
  <si>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</si>
  <si>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</si>
  <si>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</si>
  <si>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</si>
  <si>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</si>
  <si>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</si>
  <si>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</si>
  <si>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</si>
  <si>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</si>
  <si>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</si>
  <si>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</si>
  <si>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</si>
  <si>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</si>
  <si>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</si>
  <si>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</si>
  <si>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</si>
  <si>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</si>
  <si>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</si>
  <si>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</si>
  <si>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</si>
  <si>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</si>
  <si>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</si>
  <si>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</si>
  <si>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</si>
  <si>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</si>
  <si>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</si>
  <si>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</si>
  <si>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</si>
  <si>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</si>
  <si>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</si>
  <si>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</si>
  <si>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</si>
  <si>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</si>
  <si>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</si>
  <si>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</si>
  <si>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</si>
  <si>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</si>
  <si>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</si>
  <si>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</si>
  <si>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</si>
  <si>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</si>
  <si>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</si>
  <si>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</si>
  <si>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</si>
  <si>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</si>
  <si>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</si>
  <si>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</si>
  <si>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</si>
  <si>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</si>
  <si>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</si>
  <si>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</si>
  <si>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</si>
  <si>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</si>
  <si>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</si>
  <si>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</si>
  <si>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</si>
  <si>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</si>
  <si>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</si>
  <si>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</si>
  <si>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</si>
  <si>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</si>
  <si>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</si>
  <si>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</si>
  <si>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</si>
  <si>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</si>
  <si>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</si>
  <si>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</si>
  <si>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</si>
  <si>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</si>
  <si>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</si>
  <si>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</si>
  <si>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</si>
  <si>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</si>
  <si>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</si>
  <si>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</si>
  <si>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</si>
  <si>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</si>
  <si>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</si>
  <si>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</si>
  <si>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</si>
  <si>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</si>
  <si>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</si>
  <si>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</si>
  <si>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</si>
  <si>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</si>
  <si>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</si>
  <si>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</si>
  <si>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</si>
  <si>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</si>
  <si>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</si>
  <si>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</si>
  <si>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</si>
  <si>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</si>
  <si>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</si>
  <si>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</si>
  <si>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</si>
  <si>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</si>
  <si>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</si>
  <si>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</si>
  <si>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</si>
  <si>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</si>
  <si>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</si>
  <si>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</si>
  <si>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</si>
  <si>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</si>
  <si>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</si>
  <si>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</si>
  <si>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</si>
  <si>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</si>
  <si>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</si>
  <si>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</si>
  <si>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</si>
  <si>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</si>
  <si>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</si>
  <si>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</si>
  <si>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</si>
  <si>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</si>
  <si>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</si>
  <si>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</si>
  <si>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</si>
  <si>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</si>
  <si>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</si>
  <si>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</si>
  <si>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</si>
  <si>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</si>
  <si>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</si>
  <si>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</si>
  <si>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</si>
  <si>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</si>
  <si>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</si>
  <si>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</si>
  <si>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</si>
  <si>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</si>
  <si>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</si>
  <si>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</si>
  <si>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</si>
  <si>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</si>
  <si>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</si>
  <si>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</si>
  <si>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</si>
  <si>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</si>
  <si>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</si>
  <si>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</si>
  <si>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</si>
  <si>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</si>
  <si>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</si>
  <si>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</si>
  <si>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</si>
  <si>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</si>
  <si>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</si>
  <si>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</si>
  <si>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</si>
  <si>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</si>
  <si>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</si>
  <si>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</si>
  <si>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</si>
  <si>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</si>
  <si>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</si>
  <si>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</si>
  <si>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</si>
  <si>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</si>
  <si>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</si>
  <si>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</si>
  <si>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</si>
  <si>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</si>
  <si>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</si>
  <si>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</si>
  <si>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</si>
  <si>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</si>
  <si>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</si>
  <si>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</si>
  <si>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</si>
  <si>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</si>
  <si>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</si>
  <si>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</si>
  <si>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</si>
  <si>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</si>
  <si>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</si>
  <si>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</si>
  <si>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</si>
  <si>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</si>
  <si>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</si>
  <si>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</si>
  <si>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</si>
  <si>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</si>
  <si>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</si>
  <si>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</si>
  <si>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</si>
  <si>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</si>
  <si>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</si>
  <si>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</si>
  <si>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</si>
  <si>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</si>
  <si>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</si>
  <si>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</si>
  <si>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</si>
  <si>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</si>
  <si>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</si>
  <si>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</si>
  <si>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</si>
  <si>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</si>
  <si>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</si>
  <si>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</si>
  <si>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</si>
  <si>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</si>
  <si>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</si>
  <si>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</si>
  <si>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</si>
  <si>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</si>
  <si>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</si>
  <si>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</si>
  <si>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</si>
  <si>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</si>
  <si>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</si>
  <si>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</si>
  <si>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</si>
  <si>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</si>
  <si>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</si>
  <si>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</si>
  <si>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</si>
  <si>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</si>
  <si>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</si>
  <si>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</si>
  <si>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</si>
  <si>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</si>
  <si>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</si>
  <si>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</si>
  <si>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</si>
  <si>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</si>
  <si>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</si>
  <si>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</si>
  <si>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</si>
  <si>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</si>
  <si>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</si>
  <si>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</si>
  <si>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</si>
  <si>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</si>
  <si>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</si>
  <si>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</si>
  <si>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</si>
  <si>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</si>
  <si>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</si>
  <si>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</si>
  <si>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</si>
  <si>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</si>
  <si>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</si>
  <si>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</si>
  <si>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</si>
  <si>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</si>
  <si>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</si>
  <si>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</si>
  <si>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</si>
  <si>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</si>
  <si>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</si>
  <si>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</si>
  <si>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</si>
  <si>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</si>
  <si>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</si>
  <si>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</si>
  <si>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</si>
  <si>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</si>
  <si>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</si>
  <si>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</si>
  <si>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</si>
  <si>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</si>
  <si>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</si>
  <si>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</si>
  <si>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</si>
  <si>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</si>
  <si>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</si>
  <si>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</si>
  <si>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</si>
  <si>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</si>
  <si>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</si>
  <si>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</si>
  <si>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</si>
  <si>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</si>
  <si>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</si>
  <si>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</si>
  <si>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</si>
  <si>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</si>
  <si>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</si>
  <si>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</si>
  <si>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</si>
  <si>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</si>
  <si>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</si>
  <si>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</si>
  <si>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</si>
  <si>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</si>
  <si>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</si>
  <si>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</si>
  <si>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</si>
  <si>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</si>
  <si>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</si>
  <si>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</si>
  <si>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</si>
  <si>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</si>
  <si>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</si>
  <si>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</si>
  <si>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</si>
  <si>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</si>
  <si>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</si>
  <si>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</si>
  <si>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</si>
  <si>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</si>
  <si>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</si>
  <si>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</si>
  <si>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</si>
  <si>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</si>
  <si>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</si>
  <si>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</si>
  <si>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</si>
  <si>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</si>
  <si>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</si>
  <si>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</si>
  <si>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</si>
  <si>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</si>
  <si>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</si>
  <si>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</si>
  <si>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</si>
  <si>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</si>
  <si>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</si>
  <si>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</si>
  <si>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</si>
  <si>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</si>
  <si>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</si>
  <si>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</si>
  <si>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</si>
  <si>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</si>
  <si>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</si>
  <si>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</si>
  <si>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</si>
  <si>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</si>
  <si>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</si>
  <si>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</si>
  <si>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</si>
  <si>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</si>
  <si>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</si>
  <si>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</si>
  <si>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</si>
  <si>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</si>
  <si>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</si>
  <si>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</si>
  <si>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</si>
  <si>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</si>
  <si>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</si>
  <si>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</si>
  <si>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</si>
  <si>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</si>
  <si>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</si>
  <si>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</si>
  <si>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</si>
  <si>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</si>
  <si>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</si>
  <si>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</si>
  <si>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</si>
  <si>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</si>
  <si>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</si>
  <si>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</si>
  <si>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</si>
  <si>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</si>
  <si>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</si>
  <si>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</si>
  <si>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</si>
  <si>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</si>
  <si>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</si>
  <si>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</si>
  <si>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</si>
  <si>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</si>
  <si>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</si>
  <si>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</si>
  <si>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</si>
  <si>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</si>
  <si>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</si>
  <si>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</si>
  <si>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</si>
  <si>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</si>
  <si>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</si>
  <si>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</si>
  <si>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</si>
  <si>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</si>
  <si>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</si>
  <si>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</si>
  <si>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</si>
  <si>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</si>
  <si>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</si>
  <si>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</si>
  <si>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</si>
  <si>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</si>
  <si>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</si>
  <si>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</si>
  <si>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</si>
  <si>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</si>
  <si>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</si>
  <si>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</si>
  <si>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</si>
  <si>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</si>
  <si>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</si>
  <si>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</si>
  <si>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</si>
  <si>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</si>
  <si>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</si>
  <si>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</si>
  <si>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</si>
  <si>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</si>
  <si>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</si>
  <si>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</si>
  <si>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</si>
  <si>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</si>
  <si>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</si>
  <si>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</si>
  <si>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</si>
  <si>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</si>
  <si>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</si>
  <si>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</si>
  <si>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</si>
  <si>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</si>
  <si>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</si>
  <si>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</si>
  <si>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</si>
  <si>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</si>
  <si>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</si>
  <si>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</si>
  <si>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</si>
  <si>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</si>
  <si>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</si>
  <si>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</si>
  <si>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</si>
  <si>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</si>
  <si>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</si>
  <si>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</si>
  <si>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</si>
  <si>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</si>
  <si>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</si>
  <si>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</si>
  <si>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</si>
  <si>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</si>
  <si>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</si>
  <si>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</si>
  <si>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</si>
  <si>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</si>
  <si>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</si>
  <si>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</si>
  <si>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</si>
  <si>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</si>
  <si>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</si>
  <si>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</si>
  <si>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</si>
  <si>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</si>
  <si>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</si>
  <si>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</si>
  <si>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</si>
  <si>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</si>
  <si>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</si>
  <si>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</si>
  <si>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</si>
  <si>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</si>
  <si>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</si>
  <si>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</si>
  <si>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</si>
  <si>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</si>
  <si>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</si>
  <si>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</si>
  <si>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</si>
  <si>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</si>
  <si>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</si>
  <si>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</si>
  <si>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</si>
  <si>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</si>
  <si>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</si>
  <si>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</si>
  <si>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</si>
  <si>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</si>
  <si>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</si>
  <si>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</si>
  <si>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</si>
  <si>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</si>
  <si>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</si>
  <si>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</si>
  <si>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</si>
  <si>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</si>
  <si>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</si>
  <si>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</si>
  <si>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</si>
  <si>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</si>
  <si>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</si>
  <si>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</si>
  <si>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</si>
  <si>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</si>
  <si>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</si>
  <si>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</si>
  <si>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</si>
  <si>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</si>
  <si>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</si>
  <si>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</si>
  <si>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</si>
  <si>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</si>
  <si>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</si>
  <si>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</si>
  <si>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</si>
  <si>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</si>
  <si>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</si>
  <si>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</si>
  <si>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</si>
  <si>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</si>
  <si>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</si>
  <si>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</si>
  <si>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</si>
  <si>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</si>
  <si>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</si>
  <si>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</si>
  <si>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</si>
  <si>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</si>
  <si>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</si>
  <si>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</si>
  <si>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</si>
  <si>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</si>
  <si>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</si>
  <si>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</si>
  <si>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</si>
  <si>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</si>
  <si>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</si>
  <si>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</si>
  <si>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</si>
  <si>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</si>
  <si>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</si>
  <si>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</si>
  <si>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</si>
  <si>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</si>
  <si>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</si>
  <si>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</si>
  <si>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</si>
  <si>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</si>
  <si>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</si>
  <si>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</si>
  <si>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</si>
  <si>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</si>
  <si>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</si>
  <si>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</si>
  <si>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</si>
  <si>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</si>
  <si>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</si>
  <si>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</si>
  <si>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</si>
  <si>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</si>
  <si>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</si>
  <si>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</si>
  <si>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</si>
  <si>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</si>
  <si>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</si>
  <si>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</si>
  <si>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</si>
  <si>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</si>
  <si>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</si>
  <si>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</si>
  <si>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</si>
  <si>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</si>
  <si>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</si>
  <si>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</si>
  <si>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</si>
  <si>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</si>
  <si>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</si>
  <si>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</si>
  <si>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</si>
  <si>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</si>
  <si>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</si>
  <si>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</si>
  <si>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</si>
  <si>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</si>
  <si>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</si>
  <si>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</si>
  <si>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</si>
  <si>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</si>
  <si>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</si>
  <si>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</si>
  <si>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</si>
  <si>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</si>
  <si>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</si>
  <si>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</si>
  <si>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</si>
  <si>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</si>
  <si>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</si>
  <si>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</si>
  <si>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</si>
  <si>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</si>
  <si>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</si>
  <si>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</si>
  <si>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</si>
  <si>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</si>
  <si>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</si>
  <si>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</si>
  <si>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</si>
  <si>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</si>
  <si>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</si>
  <si>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</si>
  <si>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</si>
  <si>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</si>
  <si>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</si>
  <si>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</si>
  <si>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</si>
  <si>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</si>
  <si>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</si>
  <si>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</si>
  <si>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</si>
  <si>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</si>
  <si>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</si>
  <si>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</si>
  <si>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</si>
  <si>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</si>
  <si>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</si>
  <si>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</si>
  <si>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</si>
  <si>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</si>
  <si>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</si>
  <si>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</si>
  <si>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</si>
  <si>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</si>
  <si>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</si>
  <si>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</si>
  <si>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</si>
  <si>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</si>
  <si>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</si>
  <si>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</si>
  <si>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</si>
  <si>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</si>
  <si>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</si>
  <si>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</si>
  <si>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</si>
  <si>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</si>
  <si>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</si>
  <si>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</si>
  <si>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</si>
  <si>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</si>
  <si>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</si>
  <si>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</si>
  <si>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</si>
  <si>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</si>
  <si>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</si>
  <si>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</si>
  <si>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</si>
  <si>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</si>
  <si>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</si>
  <si>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</si>
  <si>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</si>
  <si>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</si>
  <si>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</si>
  <si>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</si>
  <si>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</si>
  <si>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</si>
  <si>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</si>
  <si>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</si>
  <si>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</si>
  <si>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</si>
  <si>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</si>
  <si>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</si>
  <si>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</si>
  <si>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</si>
  <si>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</si>
  <si>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</si>
  <si>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</si>
  <si>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</si>
  <si>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</si>
  <si>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</si>
  <si>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</si>
  <si>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</si>
  <si>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</si>
  <si>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</si>
  <si>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</si>
  <si>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</si>
  <si>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</si>
  <si>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</si>
  <si>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</si>
  <si>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</si>
  <si>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</si>
  <si>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</si>
  <si>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</si>
  <si>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</si>
  <si>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</si>
  <si>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</si>
  <si>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</si>
  <si>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</si>
  <si>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</si>
  <si>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</si>
  <si>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</si>
  <si>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</si>
  <si>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</si>
  <si>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</si>
  <si>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</si>
  <si>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</si>
  <si>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</si>
  <si>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</si>
  <si>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</si>
  <si>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</si>
  <si>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</si>
  <si>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</si>
  <si>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</si>
  <si>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</si>
  <si>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</si>
  <si>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</si>
  <si>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</si>
  <si>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</si>
  <si>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</si>
  <si>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</si>
  <si>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</si>
  <si>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</si>
  <si>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</si>
  <si>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</si>
  <si>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</si>
  <si>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</si>
  <si>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</si>
  <si>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</si>
  <si>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</si>
  <si>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</si>
  <si>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</si>
  <si>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</si>
  <si>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</si>
  <si>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</si>
  <si>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</si>
  <si>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</si>
  <si>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</si>
  <si>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</si>
  <si>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</si>
  <si>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</si>
  <si>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</si>
  <si>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</si>
  <si>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</si>
  <si>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</si>
  <si>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</si>
  <si>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</si>
  <si>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</si>
  <si>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</si>
  <si>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</si>
  <si>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</si>
  <si>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</si>
  <si>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</si>
  <si>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</si>
  <si>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</si>
  <si>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</si>
  <si>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</si>
  <si>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</si>
  <si>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</si>
  <si>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</si>
  <si>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</si>
  <si>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</si>
  <si>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</si>
  <si>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</si>
  <si>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</si>
  <si>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</si>
  <si>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</si>
  <si>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</si>
  <si>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</si>
  <si>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</si>
  <si>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</si>
  <si>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</si>
  <si>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</si>
  <si>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</si>
  <si>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</si>
  <si>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</si>
  <si>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</si>
  <si>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</si>
  <si>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</si>
  <si>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</si>
  <si>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</si>
  <si>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</si>
  <si>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</si>
  <si>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</si>
  <si>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</si>
  <si>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</si>
  <si>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</si>
  <si>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</si>
  <si>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</si>
  <si>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</si>
  <si>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</si>
  <si>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</si>
  <si>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</si>
  <si>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</si>
  <si>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</si>
  <si>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</si>
  <si>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</si>
  <si>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</si>
  <si>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</si>
  <si>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</si>
  <si>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</si>
  <si>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</si>
  <si>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</si>
  <si>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</si>
  <si>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</si>
  <si>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</si>
  <si>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</si>
  <si>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</si>
  <si>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</si>
  <si>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</si>
  <si>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</si>
  <si>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</si>
  <si>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</si>
  <si>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</si>
  <si>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</si>
  <si>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</si>
  <si>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</si>
  <si>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</si>
  <si>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</si>
  <si>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</si>
  <si>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</si>
  <si>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</si>
  <si>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</si>
  <si>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</si>
  <si>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</si>
  <si>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</si>
  <si>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</si>
  <si>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</si>
  <si>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</si>
  <si>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</si>
  <si>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</si>
  <si>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</si>
  <si>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</si>
  <si>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</si>
  <si>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</si>
  <si>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</si>
  <si>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</si>
  <si>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</si>
  <si>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</si>
  <si>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</si>
  <si>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</si>
  <si>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</si>
  <si>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</si>
  <si>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</si>
  <si>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</si>
  <si>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</si>
  <si>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</si>
  <si>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</si>
  <si>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</si>
  <si>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</si>
  <si>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</si>
  <si>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</si>
  <si>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</si>
  <si>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</si>
  <si>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</si>
  <si>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</si>
  <si>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</si>
  <si>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</si>
  <si>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</si>
  <si>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</si>
  <si>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</si>
  <si>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</si>
  <si>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</si>
  <si>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</si>
  <si>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</si>
  <si>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</si>
  <si>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</si>
  <si>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</si>
  <si>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</si>
  <si>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</si>
  <si>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</si>
  <si>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</si>
  <si>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</si>
  <si>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</si>
  <si>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</si>
  <si>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</si>
  <si>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</si>
  <si>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</si>
  <si>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</si>
  <si>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</si>
  <si>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</si>
  <si>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</si>
  <si>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</si>
  <si>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</si>
  <si>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</si>
  <si>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</si>
  <si>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</si>
  <si>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</si>
  <si>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</si>
  <si>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</si>
  <si>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</si>
  <si>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</si>
  <si>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</si>
  <si>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</si>
  <si>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</si>
  <si>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</si>
  <si>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</si>
  <si>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</si>
  <si>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</si>
  <si>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</si>
  <si>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</si>
  <si>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</si>
  <si>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</si>
  <si>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</si>
  <si>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</si>
  <si>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</si>
  <si>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</si>
  <si>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</si>
  <si>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</si>
  <si>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</si>
  <si>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</si>
  <si>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</si>
  <si>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</si>
  <si>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</si>
  <si>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</si>
  <si>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</si>
  <si>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</si>
  <si>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</si>
  <si>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</si>
  <si>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</si>
  <si>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</si>
  <si>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</si>
  <si>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</si>
  <si>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</si>
  <si>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</si>
  <si>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</si>
  <si>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</si>
  <si>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</si>
  <si>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</si>
  <si>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</si>
  <si>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</si>
  <si>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</si>
  <si>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</si>
  <si>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</si>
  <si>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</si>
  <si>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</si>
  <si>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</si>
  <si>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</si>
  <si>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</si>
  <si>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</si>
  <si>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</si>
  <si>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</si>
  <si>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</si>
  <si>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</si>
  <si>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</si>
  <si>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</si>
  <si>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</si>
  <si>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</si>
  <si>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</si>
  <si>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</si>
  <si>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</si>
  <si>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</si>
  <si>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</si>
  <si>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</si>
  <si>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</si>
  <si>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</si>
  <si>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</si>
  <si>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</si>
  <si>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</si>
  <si>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</si>
  <si>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</si>
  <si>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</si>
  <si>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</si>
  <si>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</si>
  <si>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</si>
  <si>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</si>
  <si>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</si>
  <si>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</si>
  <si>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</si>
  <si>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</si>
  <si>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</si>
  <si>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</si>
  <si>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</si>
  <si>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</si>
  <si>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</si>
  <si>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</si>
  <si>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</si>
  <si>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</si>
  <si>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</si>
  <si>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</si>
  <si>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</si>
  <si>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</si>
  <si>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</si>
  <si>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</si>
  <si>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</si>
  <si>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</si>
  <si>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</si>
  <si>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</si>
  <si>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</si>
  <si>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</si>
  <si>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</si>
  <si>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</si>
  <si>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</si>
  <si>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</si>
  <si>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</si>
  <si>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</si>
  <si>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</si>
  <si>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</si>
  <si>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</si>
  <si>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</si>
  <si>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</si>
  <si>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</si>
  <si>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</si>
  <si>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</si>
  <si>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</si>
  <si>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</si>
  <si>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</si>
  <si>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</si>
  <si>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</si>
  <si>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</si>
  <si>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</si>
  <si>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</si>
  <si>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</si>
  <si>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</si>
  <si>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</si>
  <si>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</si>
  <si>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</si>
  <si>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</si>
  <si>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</si>
  <si>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</si>
  <si>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</si>
  <si>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</si>
  <si>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</si>
  <si>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</si>
  <si>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</si>
  <si>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</si>
  <si>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</si>
  <si>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</si>
  <si>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</si>
  <si>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</si>
  <si>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</si>
  <si>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</si>
  <si>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</si>
  <si>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</si>
  <si>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</si>
  <si>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</si>
  <si>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</si>
  <si>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</si>
  <si>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</si>
  <si>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</si>
  <si>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</si>
  <si>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</si>
  <si>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</si>
  <si>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</si>
  <si>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</si>
  <si>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</si>
  <si>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</si>
  <si>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</si>
  <si>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</si>
  <si>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</si>
  <si>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</si>
  <si>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</si>
  <si>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</si>
  <si>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</si>
  <si>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</si>
  <si>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</si>
  <si>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</si>
  <si>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</si>
  <si>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</si>
  <si>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</si>
  <si>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</si>
  <si>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</si>
  <si>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</si>
  <si>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</si>
  <si>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</si>
  <si>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</si>
  <si>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</si>
  <si>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</si>
  <si>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</si>
  <si>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</si>
  <si>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</si>
  <si>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</si>
  <si>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</si>
  <si>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</si>
  <si>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</si>
  <si>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</si>
  <si>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</si>
  <si>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</si>
  <si>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</si>
  <si>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</si>
  <si>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</si>
  <si>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</si>
  <si>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</si>
  <si>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</si>
  <si>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</si>
  <si>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</si>
  <si>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</si>
  <si>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</si>
  <si>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</si>
  <si>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</si>
  <si>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</si>
  <si>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</si>
  <si>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</si>
  <si>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</si>
  <si>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</si>
  <si>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</si>
  <si>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</si>
  <si>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</si>
  <si>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</si>
  <si>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</si>
  <si>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</si>
  <si>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</si>
  <si>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</si>
  <si>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</si>
  <si>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</si>
  <si>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</si>
  <si>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</si>
  <si>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</si>
  <si>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</si>
  <si>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</si>
  <si>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</si>
  <si>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</si>
  <si>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</si>
  <si>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</si>
  <si>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</si>
  <si>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</si>
  <si>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</si>
  <si>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</si>
  <si>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</si>
  <si>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</si>
  <si>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</si>
  <si>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</si>
  <si>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</si>
  <si>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</si>
  <si>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</si>
  <si>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</si>
  <si>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</si>
  <si>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</si>
  <si>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</si>
  <si>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</si>
  <si>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</si>
  <si>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</si>
  <si>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</si>
  <si>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</si>
  <si>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</si>
  <si>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</si>
  <si>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</si>
  <si>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</si>
  <si>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</si>
  <si>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</si>
  <si>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</si>
  <si>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</si>
  <si>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</si>
  <si>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</si>
  <si>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</si>
  <si>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</si>
  <si>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</si>
  <si>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</si>
  <si>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</si>
  <si>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</si>
  <si>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</si>
  <si>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</si>
  <si>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</si>
  <si>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</si>
  <si>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</si>
  <si>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</si>
  <si>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</si>
  <si>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</si>
  <si>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</si>
  <si>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</si>
  <si>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</si>
  <si>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</si>
  <si>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</si>
  <si>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</si>
  <si>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</si>
  <si>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</si>
  <si>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</si>
  <si>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</si>
  <si>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</si>
  <si>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</si>
  <si>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</si>
  <si>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</si>
  <si>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</si>
  <si>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</si>
  <si>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</si>
  <si>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</si>
  <si>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</si>
  <si>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</si>
  <si>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</si>
  <si>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</si>
  <si>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</si>
  <si>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</si>
  <si>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</si>
  <si>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</si>
  <si>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</si>
  <si>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</si>
  <si>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</si>
  <si>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</si>
  <si>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</si>
  <si>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</si>
  <si>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</si>
  <si>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</si>
  <si>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</si>
  <si>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</si>
  <si>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</si>
  <si>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</si>
  <si>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</si>
  <si>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</si>
  <si>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</si>
  <si>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</si>
  <si>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</si>
  <si>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</si>
  <si>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</si>
  <si>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</si>
  <si>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</si>
  <si>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</si>
  <si>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</si>
  <si>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</si>
  <si>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</si>
  <si>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</si>
  <si>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</si>
  <si>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</si>
  <si>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</si>
  <si>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</si>
  <si>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</si>
  <si>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</si>
  <si>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</si>
  <si>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</si>
  <si>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</si>
  <si>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</si>
  <si>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</si>
  <si>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</si>
  <si>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</si>
  <si>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</si>
  <si>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</si>
  <si>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</si>
  <si>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</si>
  <si>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</si>
  <si>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</si>
  <si>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</si>
  <si>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</si>
  <si>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</si>
  <si>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</si>
  <si>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</si>
  <si>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</si>
  <si>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</si>
  <si>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</si>
  <si>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</si>
  <si>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</si>
  <si>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</si>
  <si>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</si>
  <si>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</si>
  <si>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</si>
  <si>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</si>
  <si>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</si>
  <si>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</si>
  <si>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</si>
  <si>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</si>
  <si>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</si>
  <si>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</si>
  <si>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</si>
  <si>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</si>
  <si>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</si>
  <si>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</si>
  <si>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</si>
  <si>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</si>
  <si>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</si>
  <si>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</si>
  <si>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</si>
  <si>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</si>
  <si>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</si>
  <si>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</si>
  <si>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</si>
  <si>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</si>
  <si>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</si>
  <si>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</si>
  <si>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</si>
  <si>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</si>
  <si>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</si>
  <si>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</si>
  <si>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</si>
  <si>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</si>
  <si>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</si>
  <si>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</si>
  <si>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</si>
  <si>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</si>
  <si>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</si>
  <si>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</si>
  <si>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</si>
  <si>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</si>
  <si>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</si>
  <si>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</si>
  <si>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</si>
  <si>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</si>
  <si>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</si>
  <si>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</si>
  <si>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</si>
  <si>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</si>
  <si>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</si>
  <si>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</si>
  <si>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</si>
  <si>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</si>
  <si>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</si>
  <si>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</si>
  <si>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</si>
  <si>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</si>
  <si>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</si>
  <si>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</si>
  <si>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</si>
  <si>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</si>
  <si>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</si>
  <si>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</si>
  <si>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</si>
  <si>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</si>
  <si>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</si>
  <si>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</si>
  <si>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</si>
  <si>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</si>
  <si>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</si>
  <si>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</si>
  <si>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</si>
  <si>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</si>
  <si>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</si>
  <si>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</si>
  <si>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</si>
  <si>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</si>
  <si>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</si>
  <si>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</si>
  <si>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</si>
  <si>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</si>
  <si>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</si>
  <si>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</si>
  <si>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</si>
  <si>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</si>
  <si>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</si>
  <si>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</si>
  <si>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</si>
  <si>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</si>
  <si>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</si>
  <si>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</si>
  <si>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</si>
  <si>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</si>
  <si>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</si>
  <si>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</si>
  <si>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</si>
  <si>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</si>
  <si>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</si>
  <si>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</si>
  <si>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</si>
  <si>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</si>
  <si>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</si>
  <si>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</si>
  <si>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</si>
  <si>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</si>
  <si>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</si>
  <si>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</si>
  <si>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</si>
  <si>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</si>
  <si>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</si>
  <si>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</si>
  <si>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</si>
  <si>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</si>
  <si>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</si>
  <si>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</si>
  <si>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</si>
  <si>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</si>
  <si>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</si>
  <si>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</si>
  <si>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</si>
  <si>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</si>
  <si>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</si>
  <si>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</si>
  <si>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</si>
  <si>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</si>
  <si>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</si>
  <si>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</si>
  <si>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</si>
  <si>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</si>
  <si>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</si>
  <si>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</si>
  <si>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</si>
  <si>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</si>
  <si>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</si>
  <si>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</si>
  <si>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</si>
  <si>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</si>
  <si>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</si>
  <si>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</si>
  <si>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</si>
  <si>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</si>
  <si>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</si>
  <si>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</si>
  <si>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</si>
  <si>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</si>
  <si>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</si>
  <si>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</si>
  <si>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</si>
  <si>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</si>
  <si>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</si>
  <si>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</si>
  <si>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</si>
  <si>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</si>
  <si>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</si>
  <si>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</si>
  <si>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</si>
  <si>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</si>
  <si>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</si>
  <si>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</si>
  <si>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</si>
  <si>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</si>
  <si>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</si>
  <si>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</si>
  <si>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</si>
  <si>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</si>
  <si>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</si>
  <si>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</si>
  <si>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</si>
  <si>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</si>
  <si>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</si>
  <si>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</si>
  <si>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</si>
  <si>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</si>
  <si>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</si>
  <si>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</si>
  <si>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</si>
  <si>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</si>
  <si>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</si>
  <si>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</si>
  <si>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</si>
  <si>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</si>
  <si>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</si>
  <si>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</si>
  <si>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</si>
  <si>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</si>
  <si>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</si>
  <si>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</si>
  <si>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</si>
  <si>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</si>
  <si>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</si>
  <si>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</si>
  <si>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</si>
  <si>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</si>
  <si>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</si>
  <si>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</si>
  <si>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</si>
  <si>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</si>
  <si>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</si>
  <si>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</si>
  <si>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</si>
  <si>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</si>
  <si>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</si>
  <si>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</si>
  <si>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</si>
  <si>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</si>
  <si>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</si>
  <si>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</si>
  <si>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</si>
  <si>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</si>
  <si>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</si>
  <si>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</si>
  <si>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</si>
  <si>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</si>
  <si>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</si>
  <si>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</si>
  <si>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</si>
  <si>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</si>
  <si>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</si>
  <si>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</si>
  <si>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</si>
  <si>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</si>
  <si>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</si>
  <si>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</si>
  <si>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</si>
  <si>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</si>
  <si>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</si>
  <si>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</si>
  <si>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</si>
  <si>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</si>
  <si>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</si>
  <si>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</si>
  <si>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</si>
  <si>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</si>
  <si>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</si>
  <si>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</si>
  <si>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</si>
  <si>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</si>
  <si>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</si>
  <si>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</si>
  <si>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</si>
  <si>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</si>
  <si>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</si>
  <si>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</si>
  <si>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</si>
  <si>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</si>
  <si>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</si>
  <si>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</si>
  <si>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</si>
  <si>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</si>
  <si>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</si>
  <si>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</si>
  <si>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</si>
  <si>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</si>
  <si>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</si>
  <si>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</si>
  <si>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</si>
  <si>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</si>
  <si>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</si>
  <si>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</si>
  <si>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</si>
  <si>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</si>
  <si>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</si>
  <si>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</si>
  <si>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</si>
  <si>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</si>
  <si>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</si>
  <si>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</si>
  <si>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</si>
  <si>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</si>
  <si>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</si>
  <si>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</si>
  <si>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</si>
  <si>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</si>
  <si>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</si>
  <si>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</si>
  <si>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</si>
  <si>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</si>
  <si>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</si>
  <si>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</si>
  <si>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</si>
  <si>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</si>
  <si>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</si>
  <si>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</si>
  <si>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</si>
  <si>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</si>
  <si>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</si>
  <si>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</si>
  <si>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</si>
  <si>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</si>
  <si>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</si>
  <si>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</si>
  <si>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</si>
  <si>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</si>
  <si>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</si>
  <si>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</si>
  <si>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</si>
  <si>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</si>
  <si>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</si>
  <si>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</si>
  <si>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</si>
  <si>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</si>
  <si>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</si>
  <si>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</si>
  <si>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</si>
  <si>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</si>
  <si>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</si>
  <si>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</si>
  <si>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</si>
  <si>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</si>
  <si>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</si>
  <si>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</si>
  <si>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</si>
  <si>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</si>
  <si>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</si>
  <si>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</si>
  <si>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</si>
  <si>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</si>
  <si>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</si>
  <si>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</si>
  <si>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</si>
  <si>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</si>
  <si>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</si>
  <si>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</si>
  <si>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</si>
  <si>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</si>
  <si>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</si>
  <si>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</si>
  <si>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</si>
  <si>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</si>
  <si>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</si>
  <si>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</si>
  <si>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</si>
  <si>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</si>
  <si>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</si>
  <si>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</si>
  <si>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</si>
  <si>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</si>
  <si>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</si>
  <si>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</si>
  <si>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</si>
  <si>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</si>
  <si>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</si>
  <si>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</si>
  <si>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</si>
  <si>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</si>
  <si>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</si>
  <si>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</si>
  <si>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</si>
  <si>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</si>
  <si>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</si>
  <si>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</si>
  <si>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</si>
  <si>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</si>
  <si>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</si>
  <si>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</si>
  <si>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</si>
  <si>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</si>
  <si>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</si>
  <si>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</si>
  <si>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</si>
  <si>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</si>
  <si>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</si>
  <si>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</si>
  <si>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</si>
  <si>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</si>
  <si>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</si>
  <si>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</si>
  <si>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</si>
  <si>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</si>
  <si>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</si>
  <si>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</si>
  <si>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</si>
  <si>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</si>
  <si>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</si>
  <si>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</si>
  <si>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</si>
  <si>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</si>
  <si>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</si>
  <si>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</si>
  <si>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</si>
  <si>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</si>
  <si>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</si>
  <si>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</si>
  <si>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</si>
  <si>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</si>
  <si>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</si>
  <si>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</si>
  <si>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</si>
  <si>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</si>
  <si>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</si>
  <si>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</si>
  <si>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</si>
  <si>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</si>
  <si>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</si>
  <si>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</si>
  <si>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</si>
  <si>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</si>
  <si>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</si>
  <si>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</si>
  <si>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</si>
  <si>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</si>
  <si>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</si>
  <si>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</si>
  <si>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</si>
  <si>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</si>
  <si>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</si>
  <si>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</si>
  <si>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</si>
  <si>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</si>
  <si>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</si>
  <si>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</si>
  <si>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</si>
  <si>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</si>
  <si>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</si>
  <si>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</si>
  <si>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</si>
  <si>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</si>
  <si>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</si>
  <si>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</si>
  <si>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</si>
  <si>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</si>
  <si>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</si>
  <si>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</si>
  <si>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</si>
  <si>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</si>
  <si>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</si>
  <si>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</si>
  <si>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</si>
  <si>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</si>
  <si>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</si>
  <si>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</si>
  <si>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</si>
  <si>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</si>
  <si>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</si>
  <si>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</si>
  <si>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</si>
  <si>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</si>
  <si>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</si>
  <si>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</si>
  <si>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</si>
  <si>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</si>
  <si>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</si>
  <si>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</si>
  <si>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</si>
  <si>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</si>
  <si>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</si>
  <si>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</si>
  <si>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</si>
  <si>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</si>
  <si>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</si>
  <si>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</si>
  <si>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</si>
  <si>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</si>
  <si>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</si>
  <si>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</si>
  <si>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</si>
  <si>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</si>
  <si>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</si>
  <si>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</si>
  <si>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</si>
  <si>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</si>
  <si>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</si>
  <si>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</si>
  <si>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</si>
  <si>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</si>
  <si>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</si>
  <si>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</si>
  <si>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</si>
  <si>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</si>
  <si>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</si>
  <si>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</si>
  <si>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</si>
  <si>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</si>
  <si>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</si>
  <si>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</si>
  <si>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</si>
  <si>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</si>
  <si>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</si>
  <si>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</si>
  <si>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</si>
  <si>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</si>
  <si>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</si>
  <si>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</si>
  <si>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</si>
  <si>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</si>
  <si>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</si>
  <si>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</si>
  <si>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</si>
  <si>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</si>
  <si>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</si>
  <si>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</si>
  <si>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</si>
  <si>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</si>
  <si>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</si>
  <si>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</si>
  <si>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</si>
  <si>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</si>
  <si>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</si>
  <si>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</si>
  <si>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</si>
  <si>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</si>
  <si>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</si>
  <si>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</si>
  <si>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</si>
  <si>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</si>
  <si>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</si>
  <si>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</si>
  <si>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</si>
  <si>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</si>
  <si>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</si>
  <si>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</si>
  <si>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</si>
  <si>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</si>
  <si>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</si>
  <si>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</si>
  <si>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</si>
  <si>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</si>
  <si>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</si>
  <si>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</si>
  <si>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</si>
  <si>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</si>
  <si>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</si>
  <si>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</si>
  <si>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</si>
  <si>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</si>
  <si>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</si>
  <si>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</si>
  <si>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</si>
  <si>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</si>
  <si>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</si>
  <si>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</si>
  <si>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</si>
  <si>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</si>
  <si>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</si>
  <si>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</si>
  <si>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</si>
  <si>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</si>
  <si>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</si>
  <si>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</si>
  <si>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</si>
  <si>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</si>
  <si>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</si>
  <si>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</si>
  <si>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</si>
  <si>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</si>
  <si>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</si>
  <si>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</si>
  <si>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</si>
  <si>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</si>
  <si>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</si>
  <si>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</si>
  <si>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</si>
  <si>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</si>
  <si>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</si>
  <si>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</si>
  <si>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</si>
  <si>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</si>
  <si>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</si>
  <si>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</si>
  <si>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</si>
  <si>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</si>
  <si>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</si>
  <si>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</si>
  <si>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</si>
  <si>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</si>
  <si>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</si>
  <si>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</si>
  <si>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</si>
  <si>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</si>
  <si>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</si>
  <si>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</si>
  <si>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</si>
  <si>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</si>
  <si>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</si>
  <si>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</si>
  <si>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</si>
  <si>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</si>
  <si>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</si>
  <si>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</si>
  <si>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</si>
  <si>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</si>
  <si>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</si>
  <si>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</si>
  <si>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</si>
  <si>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</si>
  <si>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</si>
  <si>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</si>
  <si>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</si>
  <si>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</si>
  <si>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</si>
  <si>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</si>
  <si>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</si>
  <si>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</si>
  <si>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</si>
  <si>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</si>
  <si>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</si>
  <si>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</si>
  <si>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</si>
  <si>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</si>
  <si>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</si>
  <si>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</si>
  <si>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</si>
  <si>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</si>
  <si>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</si>
  <si>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</si>
  <si>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</si>
  <si>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</si>
  <si>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</si>
  <si>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</si>
  <si>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</si>
  <si>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</si>
  <si>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</si>
  <si>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</si>
  <si>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</si>
  <si>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</si>
  <si>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</si>
  <si>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</si>
  <si>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</si>
  <si>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</si>
  <si>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</si>
  <si>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</si>
  <si>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</si>
  <si>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</si>
  <si>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</si>
  <si>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</si>
  <si>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</si>
  <si>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</si>
  <si>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</si>
  <si>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</si>
  <si>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</si>
  <si>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</si>
  <si>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</si>
  <si>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</si>
  <si>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</si>
  <si>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</si>
  <si>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</si>
  <si>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</si>
  <si>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</si>
  <si>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</si>
  <si>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</si>
  <si>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</si>
  <si>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</si>
  <si>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</si>
  <si>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</si>
  <si>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</si>
  <si>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</si>
  <si>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</si>
  <si>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</si>
  <si>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</si>
  <si>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</si>
  <si>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</si>
  <si>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</si>
  <si>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</si>
  <si>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</si>
  <si>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</si>
  <si>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</si>
  <si>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</si>
  <si>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</si>
  <si>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</si>
  <si>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</si>
  <si>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</si>
  <si>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</si>
  <si>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</si>
  <si>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</si>
  <si>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</si>
  <si>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</si>
  <si>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</si>
  <si>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</si>
  <si>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</si>
  <si>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</si>
  <si>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</si>
  <si>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</si>
  <si>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</si>
  <si>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</si>
  <si>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</si>
  <si>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</si>
  <si>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</si>
  <si>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</si>
  <si>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</si>
  <si>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</si>
  <si>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</si>
  <si>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</si>
  <si>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</si>
  <si>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</si>
  <si>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</si>
  <si>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</si>
  <si>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</si>
  <si>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</si>
  <si>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</si>
  <si>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</si>
  <si>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</si>
  <si>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</si>
  <si>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</si>
  <si>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</si>
  <si>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</si>
  <si>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</si>
  <si>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</si>
  <si>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</si>
  <si>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</si>
  <si>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</si>
  <si>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</si>
  <si>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</si>
  <si>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</si>
  <si>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</si>
  <si>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</si>
  <si>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</si>
  <si>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</si>
  <si>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</si>
  <si>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</si>
  <si>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</si>
  <si>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</si>
  <si>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</si>
  <si>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</si>
  <si>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</si>
  <si>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</si>
  <si>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</si>
  <si>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</si>
  <si>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</si>
  <si>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</si>
  <si>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</si>
  <si>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</si>
  <si>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</si>
  <si>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</si>
  <si>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</si>
  <si>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</si>
  <si>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</si>
  <si>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</si>
  <si>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</si>
  <si>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</si>
  <si>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</si>
  <si>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</si>
  <si>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</si>
  <si>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</si>
  <si>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</si>
  <si>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</si>
  <si>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</si>
  <si>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</si>
  <si>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</si>
  <si>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</si>
  <si>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</si>
  <si>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</si>
  <si>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</si>
  <si>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</si>
  <si>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</si>
  <si>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</si>
  <si>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</si>
  <si>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</si>
  <si>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</si>
  <si>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</si>
  <si>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</si>
  <si>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</si>
  <si>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</si>
  <si>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</si>
  <si>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</si>
  <si>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</si>
  <si>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</si>
  <si>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</si>
  <si>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</si>
  <si>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</si>
  <si>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</si>
  <si>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</si>
  <si>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</si>
  <si>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</si>
  <si>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</si>
  <si>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</si>
  <si>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</si>
  <si>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</si>
  <si>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</si>
  <si>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</si>
  <si>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</si>
  <si>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</si>
  <si>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</si>
  <si>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</si>
  <si>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</si>
  <si>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</si>
  <si>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</si>
  <si>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</si>
  <si>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</si>
  <si>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</si>
  <si>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</si>
  <si>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</si>
  <si>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</si>
  <si>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</si>
  <si>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</si>
  <si>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</si>
  <si>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</si>
  <si>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</si>
  <si>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</si>
  <si>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</si>
  <si>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</si>
  <si>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</si>
  <si>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</si>
  <si>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</si>
  <si>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</si>
  <si>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</si>
  <si>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</si>
  <si>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</si>
  <si>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</si>
  <si>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</si>
  <si>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</si>
  <si>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</si>
  <si>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</si>
  <si>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</si>
  <si>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</si>
  <si>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</si>
  <si>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</si>
  <si>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</si>
  <si>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</si>
  <si>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</si>
  <si>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</si>
  <si>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</si>
  <si>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</si>
  <si>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</si>
  <si>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</si>
  <si>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</si>
  <si>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</si>
  <si>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</si>
  <si>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</si>
  <si>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</si>
  <si>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</si>
  <si>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</si>
  <si>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</si>
  <si>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</si>
  <si>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</si>
  <si>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</si>
  <si>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</si>
  <si>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</si>
  <si>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</si>
  <si>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</si>
  <si>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</si>
  <si>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</si>
  <si>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</si>
  <si>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</si>
  <si>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</si>
  <si>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</si>
  <si>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</si>
  <si>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</si>
  <si>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</si>
  <si>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</si>
  <si>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</si>
  <si>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</si>
  <si>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</si>
  <si>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</si>
  <si>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</si>
  <si>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</si>
  <si>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</si>
  <si>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</si>
  <si>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</si>
  <si>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</si>
  <si>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</si>
  <si>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</si>
  <si>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</si>
  <si>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</si>
  <si>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</si>
  <si>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</si>
  <si>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</si>
  <si>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</si>
  <si>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</si>
  <si>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</si>
  <si>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</si>
  <si>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</si>
  <si>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</si>
  <si>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</si>
  <si>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</si>
  <si>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</si>
  <si>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</si>
  <si>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</si>
  <si>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</si>
  <si>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</si>
  <si>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</si>
  <si>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</si>
  <si>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</si>
  <si>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</si>
  <si>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</si>
  <si>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</si>
  <si>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</si>
  <si>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</si>
  <si>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</si>
  <si>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</si>
  <si>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</si>
  <si>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</si>
  <si>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</si>
  <si>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</si>
  <si>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</si>
  <si>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</si>
  <si>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</si>
  <si>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</si>
  <si>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</si>
  <si>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</si>
  <si>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</si>
  <si>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</si>
  <si>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</si>
  <si>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</si>
  <si>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</si>
  <si>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</si>
  <si>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</si>
  <si>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</si>
  <si>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</si>
  <si>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</si>
  <si>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</si>
  <si>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</si>
  <si>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</si>
  <si>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</si>
  <si>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</si>
  <si>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</si>
  <si>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</si>
  <si>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</si>
  <si>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</si>
  <si>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</si>
  <si>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</si>
  <si>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</si>
  <si>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</si>
  <si>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</si>
  <si>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</si>
  <si>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</si>
  <si>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</si>
  <si>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</si>
  <si>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</si>
  <si>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</si>
  <si>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</si>
  <si>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</si>
  <si>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</si>
  <si>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</si>
  <si>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</si>
  <si>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</si>
  <si>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</si>
  <si>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</si>
  <si>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</si>
  <si>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</si>
  <si>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</si>
  <si>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</si>
  <si>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</si>
  <si>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</si>
  <si>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</si>
  <si>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</si>
  <si>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</si>
  <si>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</si>
  <si>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</si>
  <si>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</si>
  <si>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</si>
  <si>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</si>
  <si>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</si>
  <si>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</si>
  <si>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</si>
  <si>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</si>
  <si>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</si>
  <si>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</si>
  <si>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</si>
  <si>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</si>
  <si>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</si>
  <si>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</si>
  <si>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</si>
  <si>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</si>
  <si>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</si>
  <si>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</si>
  <si>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</si>
  <si>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</si>
  <si>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</si>
  <si>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</si>
  <si>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</si>
  <si>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</si>
  <si>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</si>
  <si>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</si>
  <si>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</si>
  <si>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</si>
  <si>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</si>
  <si>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</si>
  <si>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</si>
  <si>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</si>
  <si>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</si>
  <si>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</si>
  <si>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</si>
  <si>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</si>
  <si>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</si>
  <si>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</si>
  <si>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</si>
  <si>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</si>
  <si>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</si>
  <si>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</si>
  <si>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</si>
  <si>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</si>
  <si>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</si>
  <si>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</si>
  <si>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</si>
  <si>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</si>
  <si>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</si>
  <si>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</si>
  <si>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</si>
  <si>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</si>
  <si>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</si>
  <si>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</si>
  <si>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</si>
  <si>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</si>
  <si>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</si>
  <si>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</si>
  <si>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</si>
  <si>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</si>
  <si>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</si>
  <si>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</si>
  <si>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</si>
  <si>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</si>
  <si>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</si>
  <si>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</si>
  <si>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</si>
  <si>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</si>
  <si>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</si>
  <si>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</si>
  <si>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</si>
  <si>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</si>
  <si>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</si>
  <si>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</si>
  <si>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</si>
  <si>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</si>
  <si>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</si>
  <si>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</si>
  <si>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</si>
  <si>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</si>
  <si>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</si>
  <si>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</si>
  <si>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</si>
  <si>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</si>
  <si>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</si>
  <si>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</si>
  <si>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</si>
  <si>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</si>
  <si>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</si>
  <si>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</si>
  <si>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</si>
  <si>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</si>
  <si>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</si>
  <si>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</si>
  <si>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</si>
  <si>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</si>
  <si>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</si>
  <si>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</si>
  <si>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</si>
  <si>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</si>
  <si>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</si>
  <si>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</si>
  <si>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</si>
  <si>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</si>
  <si>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</si>
  <si>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</si>
  <si>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</si>
  <si>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</si>
  <si>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</si>
  <si>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</si>
  <si>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</si>
  <si>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</si>
  <si>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</si>
  <si>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</si>
  <si>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</si>
  <si>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</si>
  <si>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</si>
  <si>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</si>
  <si>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</si>
  <si>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</si>
  <si>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</si>
  <si>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</si>
  <si>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</si>
  <si>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</si>
  <si>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</si>
  <si>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</si>
  <si>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</si>
  <si>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</si>
  <si>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</si>
  <si>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</si>
  <si>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</si>
  <si>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</si>
  <si>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</si>
  <si>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</si>
  <si>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</si>
  <si>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</si>
  <si>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</si>
  <si>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</si>
  <si>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</si>
  <si>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</si>
  <si>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</si>
  <si>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</si>
  <si>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</si>
  <si>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</si>
  <si>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</si>
  <si>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</si>
  <si>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</si>
  <si>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</si>
  <si>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</si>
  <si>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</si>
  <si>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</si>
  <si>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</si>
  <si>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</si>
  <si>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</si>
  <si>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</si>
  <si>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</si>
  <si>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</si>
  <si>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</si>
  <si>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</si>
  <si>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</si>
  <si>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</si>
  <si>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</si>
  <si>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</si>
  <si>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</si>
  <si>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</si>
  <si>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</si>
  <si>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</si>
  <si>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</si>
  <si>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</si>
  <si>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</si>
  <si>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</si>
  <si>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</si>
  <si>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</si>
  <si>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</si>
  <si>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</si>
  <si>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</si>
  <si>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</si>
  <si>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</si>
  <si>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</si>
  <si>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</si>
  <si>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</si>
  <si>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</si>
  <si>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</si>
  <si>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</si>
  <si>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</si>
  <si>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</si>
  <si>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</si>
  <si>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</si>
  <si>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</si>
  <si>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</si>
  <si>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</si>
  <si>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</si>
  <si>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</si>
  <si>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</si>
  <si>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</si>
  <si>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</si>
  <si>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</si>
  <si>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</si>
  <si>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</si>
  <si>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</si>
  <si>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</si>
  <si>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</si>
  <si>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</si>
  <si>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</si>
  <si>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</si>
  <si>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</si>
  <si>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</si>
  <si>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</si>
  <si>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</si>
  <si>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</si>
  <si>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</si>
  <si>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</si>
  <si>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</si>
  <si>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</si>
  <si>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</si>
  <si>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</si>
  <si>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</si>
  <si>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</si>
  <si>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</si>
  <si>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</si>
  <si>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</si>
  <si>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</si>
  <si>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</si>
  <si>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</si>
  <si>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</si>
  <si>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</si>
  <si>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</si>
  <si>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</si>
  <si>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</si>
  <si>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</si>
  <si>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</si>
  <si>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</si>
  <si>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</si>
  <si>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</si>
  <si>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</si>
  <si>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</si>
  <si>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</si>
  <si>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</si>
  <si>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</si>
  <si>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</si>
  <si>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</si>
  <si>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</si>
  <si>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</si>
  <si>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</si>
  <si>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</si>
  <si>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</si>
  <si>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</si>
  <si>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</si>
  <si>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</si>
  <si>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</si>
  <si>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</si>
  <si>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</si>
  <si>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</si>
  <si>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</si>
  <si>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</si>
  <si>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</si>
  <si>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</si>
  <si>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</si>
  <si>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</si>
  <si>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</si>
  <si>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</si>
  <si>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</si>
  <si>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</si>
  <si>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</si>
  <si>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</si>
  <si>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</si>
  <si>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</si>
  <si>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</si>
  <si>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</si>
  <si>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</si>
  <si>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</si>
  <si>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</si>
  <si>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</si>
  <si>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</si>
  <si>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</si>
  <si>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</si>
  <si>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</si>
  <si>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</si>
  <si>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</si>
  <si>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</si>
  <si>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</si>
  <si>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</si>
  <si>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</si>
  <si>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</si>
  <si>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</si>
  <si>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</si>
  <si>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</si>
  <si>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</si>
  <si>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18004 E Telegraph Road</t>
  </si>
  <si>
    <t>Santa Paula</t>
  </si>
  <si>
    <t>Citrus Flats</t>
  </si>
  <si>
    <t>City of Santa Paula</t>
  </si>
  <si>
    <t>970 Ventura Street</t>
  </si>
  <si>
    <t>40%/60% Average Income</t>
  </si>
  <si>
    <t>Tax Exempt Bonds</t>
  </si>
  <si>
    <t>Recycled Bonds</t>
  </si>
  <si>
    <t>Inclusionary Housing Funds</t>
  </si>
  <si>
    <t>Tax Exempt Bonds Permanent Loan</t>
  </si>
  <si>
    <t>Housing Authority of Ventura County</t>
  </si>
  <si>
    <t>Office, Telephone and Operations</t>
  </si>
  <si>
    <t>Security</t>
  </si>
  <si>
    <t>Taxes and Benefits</t>
  </si>
  <si>
    <t>Performance Bond</t>
  </si>
  <si>
    <t>Housing Authority Fee</t>
  </si>
  <si>
    <t>Materials Testing</t>
  </si>
  <si>
    <t>Third Party Fees</t>
  </si>
  <si>
    <t>CDLAC App and  Bond Fees</t>
  </si>
  <si>
    <t>Borrower Legal</t>
  </si>
  <si>
    <t>1 bedroom</t>
  </si>
  <si>
    <t>2 bedroom</t>
  </si>
  <si>
    <t>3 bedroom</t>
  </si>
  <si>
    <t>4 bedroom</t>
  </si>
  <si>
    <t>Managing GP</t>
  </si>
  <si>
    <t>Tax Credit Equity</t>
  </si>
  <si>
    <t>Dan Singer</t>
  </si>
  <si>
    <t>City Manager</t>
  </si>
  <si>
    <t>dsinger@spcity.org</t>
  </si>
  <si>
    <t>FLT Telegraph Partners, L.P.</t>
  </si>
  <si>
    <t>Irvine</t>
  </si>
  <si>
    <t>CA</t>
  </si>
  <si>
    <t>Ron Wu</t>
  </si>
  <si>
    <t>(415) 757-8639</t>
  </si>
  <si>
    <t>rwu@rtacq.com</t>
  </si>
  <si>
    <t>Newport Beach</t>
  </si>
  <si>
    <t>3920 Birch Street, Suite 103</t>
  </si>
  <si>
    <t>Shawn Boyd</t>
  </si>
  <si>
    <t>949-253-3120</t>
  </si>
  <si>
    <t>sboyd@ahaccess.org</t>
  </si>
  <si>
    <t>Affordable Housing Access, Inc.</t>
  </si>
  <si>
    <t>Administrative GP</t>
  </si>
  <si>
    <t>2082 Michelson Drive, 4th Floor</t>
  </si>
  <si>
    <t>(414) 757-8639</t>
  </si>
  <si>
    <t>2082 Michelson Drive</t>
  </si>
  <si>
    <t>Irvine, CA 92612</t>
  </si>
  <si>
    <t>Architects Orange</t>
  </si>
  <si>
    <t>321 W Chapman Ave</t>
  </si>
  <si>
    <t>Orange, CA 92866</t>
  </si>
  <si>
    <t>Serafin Maranan</t>
  </si>
  <si>
    <t>serafinm@aoarchitects.com</t>
  </si>
  <si>
    <t>26 units/acre</t>
  </si>
  <si>
    <t>Stoel Rives, LLP</t>
  </si>
  <si>
    <t>600 University Street, Suite 3600</t>
  </si>
  <si>
    <t>Seattle, WA 98101</t>
  </si>
  <si>
    <t>Kate Mathews</t>
  </si>
  <si>
    <t xml:space="preserve">(206) 386-7519 </t>
  </si>
  <si>
    <t>kate.mathews@stoel.com</t>
  </si>
  <si>
    <t>Novogradac</t>
  </si>
  <si>
    <t>6700 Antioch Road, Suite 450</t>
  </si>
  <si>
    <t>Merriam, KS 66204</t>
  </si>
  <si>
    <t>Rebecca Arthur</t>
  </si>
  <si>
    <t>(913) 312-4615</t>
  </si>
  <si>
    <t>Rebecca.Arthur@novoco.com</t>
  </si>
  <si>
    <t>California Public Finance Authority</t>
  </si>
  <si>
    <t>800 S. Broadway, Suite 470</t>
  </si>
  <si>
    <t>Walnut Creek, CA 94596</t>
  </si>
  <si>
    <t>Caitlin Lanctot</t>
  </si>
  <si>
    <t>(925) 280-4394</t>
  </si>
  <si>
    <t xml:space="preserve">clanctot@calpfa.org </t>
  </si>
  <si>
    <t>R4 Capital</t>
  </si>
  <si>
    <t xml:space="preserve">895 Dove Street, Suite 450 </t>
  </si>
  <si>
    <t>Newport Beach, CA 92660</t>
  </si>
  <si>
    <t>Cory Bannister</t>
  </si>
  <si>
    <t xml:space="preserve">(949) 438-1056  </t>
  </si>
  <si>
    <t>CBannister@r4cap.com</t>
  </si>
  <si>
    <t>(714) 639-9860</t>
  </si>
  <si>
    <t>Other (Specify below)</t>
  </si>
  <si>
    <t>FLT Telegraph, LLC</t>
  </si>
  <si>
    <t>Seller Land Note</t>
  </si>
  <si>
    <t>Fixed</t>
  </si>
  <si>
    <t>AHA Ventura, LLC / Affordable Housing Access, Inc.</t>
  </si>
  <si>
    <t>City of Valencia Deferred Inpact Fee Note</t>
  </si>
  <si>
    <t>City of Valencia Inclusionary Housing Funds</t>
  </si>
  <si>
    <t>Provided</t>
  </si>
  <si>
    <t>Not Applicable</t>
  </si>
  <si>
    <t>City of Santa Paula Deferred Impact Fees</t>
  </si>
  <si>
    <t>AHA Santa Paula MGP, LLC</t>
  </si>
  <si>
    <t>FLT Equity, LLC</t>
  </si>
  <si>
    <t>General Partner</t>
  </si>
  <si>
    <t>NextPhase Construction, Inc.</t>
  </si>
  <si>
    <t>1676 N California Blvd, Suite 250</t>
  </si>
  <si>
    <t>Jamie Atterholt</t>
  </si>
  <si>
    <t>925-412-4852</t>
  </si>
  <si>
    <t>JAtterholt@nextphasecon.com</t>
  </si>
  <si>
    <t>211 E Ocean Blvd., 6th Floor</t>
  </si>
  <si>
    <t>Long Beach, CA 90802</t>
  </si>
  <si>
    <t>Bill Letsinger</t>
  </si>
  <si>
    <t>(562) 256-2340</t>
  </si>
  <si>
    <t>Bill.Letsinger@novoco.com</t>
  </si>
  <si>
    <t>VPM Management, Inc.</t>
  </si>
  <si>
    <t>2400 Main Street, Suite 201</t>
  </si>
  <si>
    <t>Irvine, CA 92614</t>
  </si>
  <si>
    <t>Michael B. Earl</t>
  </si>
  <si>
    <t>Vice President</t>
  </si>
  <si>
    <t>Michael B Earl</t>
  </si>
  <si>
    <t>Mixed Use: Commercial / Light Industrial</t>
  </si>
  <si>
    <t>C-LI (Commercial Light Industrial w/ Housing Opportunities Overlay); max density 21 units/acre before density bonus</t>
  </si>
  <si>
    <t>3 stories or 45 feet</t>
  </si>
  <si>
    <t>1.5 spaces per 1-bed unit, 1.75 spaces per 2-bed unit, 2.0 spaces per 3-bed unit</t>
  </si>
  <si>
    <t>220 resident/guest spaces</t>
  </si>
  <si>
    <t>City Affordable Housing Fund Soft Loan</t>
  </si>
  <si>
    <t>City DIF Soft Loan</t>
  </si>
  <si>
    <t>City Water in Lieu Fee Soft Loan</t>
  </si>
  <si>
    <t>Santa Paula Housing Authority Project Based Vouchers</t>
  </si>
  <si>
    <t>325 E. Hillcrest Dr., Suite 160</t>
  </si>
  <si>
    <t>Thousand Oaks, CA 91361</t>
  </si>
  <si>
    <t>Matt Knipprath</t>
  </si>
  <si>
    <t>805-494-1808</t>
  </si>
  <si>
    <t>970 E Ventura Street</t>
  </si>
  <si>
    <t>805-525-4478</t>
  </si>
  <si>
    <t>Soft Loan</t>
  </si>
  <si>
    <t>895 Dove Street, Suite 475</t>
  </si>
  <si>
    <t>Newport Beach, CA</t>
  </si>
  <si>
    <t>949 438 1055</t>
  </si>
  <si>
    <t>Equity</t>
  </si>
  <si>
    <t>Irvine, CA</t>
  </si>
  <si>
    <t>EST. 6/30/2047</t>
  </si>
  <si>
    <t>Santa Paula Housing Authority</t>
  </si>
  <si>
    <t>Project-based vouchers (PBVs)</t>
  </si>
  <si>
    <t>Above residual receipts line for cash flow</t>
  </si>
  <si>
    <t>Ryan Barker</t>
  </si>
  <si>
    <t>(949) 526-0970</t>
  </si>
  <si>
    <t>ryanbarker@villageinvestments.net</t>
  </si>
  <si>
    <t>Tax Exempt Private Placement</t>
  </si>
  <si>
    <t>Soft Note</t>
  </si>
  <si>
    <t>Deferred Fee</t>
  </si>
  <si>
    <t>Vice President of Administrative GP</t>
  </si>
  <si>
    <t>949-399-2500</t>
  </si>
  <si>
    <t>VPM Management Inc</t>
  </si>
  <si>
    <t>Telegraph Partners GP, LLC</t>
  </si>
  <si>
    <t>Deferred Fees and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</si>
</sst>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7170">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14" fillId="0" borderId="0" xfId="0" applyFont="1" applyAlignment="1">
      <alignment horizontal="left" vertical="top" wrapText="1"/>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43" fillId="0" borderId="0" xfId="0" applyFont="1" applyAlignment="1">
      <alignment horizontal="left" vertical="top" wrapText="1"/>
    </xf>
    <xf numFmtId="0" fontId="14" fillId="0" borderId="0" xfId="0" applyFont="1" applyAlignment="1">
      <alignment horizontal="left" wrapText="1"/>
    </xf>
    <xf numFmtId="0" fontId="15" fillId="0" borderId="0" xfId="244" applyAlignment="1" applyProtection="1">
      <alignment horizontal="left"/>
    </xf>
    <xf numFmtId="0" fontId="111" fillId="0" borderId="0" xfId="0" applyFont="1" applyAlignment="1">
      <alignment horizontal="left" wrapText="1"/>
    </xf>
    <xf numFmtId="0" fontId="23" fillId="0" borderId="0" xfId="0" applyFont="1" applyAlignment="1">
      <alignment horizontal="left" wrapText="1"/>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03" fillId="0" borderId="0" xfId="0" applyFont="1" applyAlignment="1">
      <alignment horizontal="left" vertical="top" wrapText="1"/>
    </xf>
    <xf numFmtId="0" fontId="32" fillId="0" borderId="0" xfId="569" applyFont="1" applyAlignment="1">
      <alignment horizontal="left"/>
    </xf>
    <xf numFmtId="4" fontId="14" fillId="0" borderId="0" xfId="569" applyNumberFormat="1" applyAlignment="1">
      <alignment horizontal="left"/>
    </xf>
    <xf numFmtId="0" fontId="14" fillId="0" borderId="0" xfId="569" applyAlignment="1">
      <alignment horizontal="left" vertical="top" wrapText="1"/>
    </xf>
    <xf numFmtId="4" fontId="32" fillId="0" borderId="0" xfId="569" applyNumberFormat="1" applyFont="1" applyAlignment="1">
      <alignment horizontal="left" vertical="top" wrapText="1"/>
    </xf>
    <xf numFmtId="4" fontId="14" fillId="0" borderId="0" xfId="569" applyNumberForma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xf>
    <xf numFmtId="0" fontId="14" fillId="0" borderId="0" xfId="0" applyFont="1" applyAlignment="1">
      <alignment horizontal="left"/>
    </xf>
    <xf numFmtId="0" fontId="21" fillId="0" borderId="4" xfId="569" applyFont="1" applyBorder="1" applyAlignment="1">
      <alignment horizontal="left"/>
    </xf>
    <xf numFmtId="0" fontId="21" fillId="0" borderId="4" xfId="569" applyFont="1" applyBorder="1" applyAlignment="1">
      <alignment horizontal="left" vertical="top"/>
    </xf>
    <xf numFmtId="0" fontId="32" fillId="0" borderId="0" xfId="0" applyFont="1" applyAlignment="1">
      <alignment horizontal="left" wrapText="1"/>
    </xf>
    <xf numFmtId="0" fontId="14" fillId="0" borderId="0" xfId="0" applyFont="1" applyAlignment="1">
      <alignment horizontal="left" vertical="top"/>
    </xf>
    <xf numFmtId="0" fontId="21" fillId="0" borderId="0" xfId="0" applyFont="1" applyAlignment="1">
      <alignment horizontal="left"/>
    </xf>
    <xf numFmtId="0" fontId="23" fillId="0" borderId="0" xfId="0" applyFont="1" applyAlignment="1">
      <alignment horizontal="left"/>
    </xf>
    <xf numFmtId="0" fontId="15" fillId="0" borderId="0" xfId="244" quotePrefix="1" applyAlignment="1" applyProtection="1">
      <alignment horizontal="left"/>
    </xf>
    <xf numFmtId="0" fontId="21" fillId="0" borderId="4" xfId="0" applyFont="1" applyBorder="1" applyAlignment="1">
      <alignment horizontal="left"/>
    </xf>
    <xf numFmtId="0" fontId="32" fillId="0" borderId="0" xfId="569" applyFont="1" applyAlignment="1">
      <alignment horizontal="left" vertical="top"/>
    </xf>
    <xf numFmtId="0" fontId="14" fillId="0" borderId="0" xfId="569" applyAlignment="1">
      <alignment horizontal="left" vertical="top"/>
    </xf>
    <xf numFmtId="0" fontId="21" fillId="0" borderId="0" xfId="569" applyFont="1" applyAlignment="1">
      <alignment horizontal="left" vertical="top"/>
    </xf>
    <xf numFmtId="0" fontId="32" fillId="0" borderId="0" xfId="0" applyFont="1" applyAlignment="1">
      <alignment horizontal="left" vertical="top" wrapText="1"/>
    </xf>
    <xf numFmtId="4" fontId="14" fillId="0" borderId="0" xfId="0" applyNumberFormat="1" applyFont="1" applyAlignment="1">
      <alignment horizontal="left" vertical="top" wrapText="1"/>
    </xf>
    <xf numFmtId="4" fontId="32" fillId="0" borderId="0" xfId="0" applyNumberFormat="1" applyFont="1" applyAlignment="1">
      <alignment horizontal="left"/>
    </xf>
    <xf numFmtId="4" fontId="15" fillId="0" borderId="0" xfId="244" applyNumberFormat="1" applyFill="1" applyAlignment="1" applyProtection="1">
      <alignment horizontal="left"/>
    </xf>
    <xf numFmtId="0" fontId="14" fillId="0" borderId="0" xfId="271" applyFont="1" applyAlignment="1">
      <alignment horizontal="left" vertical="top" wrapText="1"/>
    </xf>
    <xf numFmtId="4" fontId="14" fillId="0" borderId="0" xfId="1192" applyNumberForma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0" fontId="32" fillId="0" borderId="0" xfId="569" applyFont="1" applyAlignment="1">
      <alignment horizontal="left" vertical="top" wrapText="1"/>
    </xf>
    <xf numFmtId="0" fontId="14" fillId="0" borderId="0" xfId="569" applyAlignment="1">
      <alignment horizontal="left"/>
    </xf>
    <xf numFmtId="0" fontId="15" fillId="0" borderId="0" xfId="244"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0" fontId="14" fillId="0" borderId="0" xfId="1192" applyAlignment="1">
      <alignment horizontal="left"/>
    </xf>
    <xf numFmtId="0" fontId="0" fillId="0" borderId="0" xfId="0" applyAlignment="1">
      <alignment horizontal="left" vertical="top" wrapText="1"/>
    </xf>
    <xf numFmtId="0" fontId="14" fillId="0" borderId="0" xfId="271" applyFont="1" applyAlignment="1" applyProtection="1">
      <alignment horizontal="left" vertical="top" wrapText="1"/>
      <protection locked="0"/>
    </xf>
    <xf numFmtId="0" fontId="32" fillId="0" borderId="0" xfId="1192" applyFont="1" applyAlignment="1">
      <alignment horizontal="left"/>
    </xf>
    <xf numFmtId="0" fontId="21" fillId="0" borderId="0" xfId="27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0" fontId="32" fillId="0" borderId="0" xfId="569" applyFont="1" applyAlignment="1">
      <alignment horizontal="center"/>
    </xf>
    <xf numFmtId="0" fontId="21"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15" fillId="0" borderId="0" xfId="244" applyAlignment="1" applyProtection="1">
      <alignment horizontal="left" vertical="top" wrapText="1"/>
    </xf>
    <xf numFmtId="0" fontId="21" fillId="0" borderId="0" xfId="569" applyFont="1" applyAlignment="1">
      <alignment horizontal="left"/>
    </xf>
    <xf numFmtId="0" fontId="21" fillId="0" borderId="4" xfId="0" applyFont="1" applyBorder="1" applyAlignment="1">
      <alignment horizontal="left" vertical="top"/>
    </xf>
    <xf numFmtId="0" fontId="21" fillId="0" borderId="16" xfId="569" applyFont="1" applyBorder="1" applyAlignment="1">
      <alignment horizontal="left"/>
    </xf>
    <xf numFmtId="0" fontId="14" fillId="0" borderId="0" xfId="569" applyAlignment="1">
      <alignment horizontal="left" vertical="center" wrapText="1"/>
    </xf>
    <xf numFmtId="0" fontId="21" fillId="0" borderId="0" xfId="0" applyFont="1" applyAlignment="1">
      <alignment horizontal="left" vertical="top"/>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4" fontId="14" fillId="0" borderId="0" xfId="0" applyNumberFormat="1" applyFont="1" applyAlignment="1">
      <alignment horizontal="left"/>
    </xf>
    <xf numFmtId="0" fontId="21" fillId="0" borderId="0" xfId="0" applyFont="1" applyAlignment="1">
      <alignment vertical="top" wrapText="1"/>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32" fillId="0" borderId="0" xfId="0" applyFont="1" applyAlignment="1">
      <alignment horizontal="left" vertical="top"/>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0" fillId="5" borderId="6" xfId="0" applyFill="1" applyBorder="1" applyAlignment="1" applyProtection="1">
      <alignment horizontal="left"/>
      <protection locked="0"/>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protection locked="0"/>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0" fontId="14"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6" fontId="23" fillId="5" borderId="4" xfId="0" applyNumberFormat="1" applyFont="1" applyFill="1" applyBorder="1" applyAlignment="1" applyProtection="1">
      <alignment horizontal="left"/>
      <protection locked="0"/>
    </xf>
    <xf numFmtId="0" fontId="23" fillId="0" borderId="1" xfId="0" applyFont="1" applyBorder="1" applyAlignment="1">
      <alignment horizontal="center" vertical="top" wrapText="1"/>
    </xf>
    <xf numFmtId="0" fontId="0" fillId="0" borderId="11" xfId="0" applyBorder="1" applyAlignment="1">
      <alignment horizontal="center"/>
    </xf>
    <xf numFmtId="0" fontId="14" fillId="0" borderId="11" xfId="0" applyFont="1" applyBorder="1" applyAlignment="1">
      <alignment horizontal="center"/>
    </xf>
    <xf numFmtId="0" fontId="23" fillId="2" borderId="11" xfId="0" applyFont="1" applyFill="1"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23" fillId="0" borderId="3" xfId="0" applyFont="1" applyBorder="1" applyAlignment="1">
      <alignment horizontal="center"/>
    </xf>
    <xf numFmtId="0" fontId="23" fillId="0" borderId="5" xfId="0" applyFont="1" applyBorder="1" applyAlignment="1">
      <alignment horizontal="center"/>
    </xf>
    <xf numFmtId="0" fontId="23" fillId="45" borderId="11" xfId="0" applyFont="1" applyFill="1" applyBorder="1" applyAlignment="1">
      <alignment horizontal="center"/>
    </xf>
    <xf numFmtId="0" fontId="14" fillId="0" borderId="6" xfId="0" applyFont="1" applyBorder="1" applyAlignment="1" applyProtection="1">
      <alignment horizontal="center"/>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168" fontId="14" fillId="0" borderId="3" xfId="0" applyNumberFormat="1" applyFont="1" applyBorder="1" applyAlignment="1">
      <alignment horizontal="left" vertical="top"/>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3" fillId="5" borderId="11" xfId="0" applyNumberFormat="1" applyFont="1" applyFill="1" applyBorder="1" applyAlignment="1" applyProtection="1">
      <alignment horizontal="center"/>
      <protection locked="0"/>
    </xf>
    <xf numFmtId="0" fontId="14" fillId="5" borderId="4" xfId="0" applyFont="1" applyFill="1" applyBorder="1" applyAlignment="1" applyProtection="1">
      <alignment horizontal="left"/>
      <protection locked="0"/>
    </xf>
    <xf numFmtId="166" fontId="14" fillId="5" borderId="6" xfId="0" applyNumberFormat="1" applyFont="1" applyFill="1" applyBorder="1" applyAlignment="1" applyProtection="1">
      <alignment horizontal="left"/>
      <protection locked="0"/>
    </xf>
    <xf numFmtId="166" fontId="14" fillId="5" borderId="4" xfId="0" applyNumberFormat="1" applyFont="1" applyFill="1" applyBorder="1" applyAlignment="1" applyProtection="1">
      <alignment horizontal="left"/>
      <protection locked="0"/>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4"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168" fontId="23" fillId="0" borderId="11" xfId="0" applyNumberFormat="1" applyFont="1" applyBorder="1" applyAlignment="1">
      <alignment horizontal="center"/>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0" fontId="21" fillId="0" borderId="6" xfId="0" applyFont="1" applyBorder="1" applyAlignment="1">
      <alignment horizontal="center"/>
    </xf>
    <xf numFmtId="0" fontId="21" fillId="0" borderId="10" xfId="0" applyFont="1" applyBorder="1" applyAlignment="1">
      <alignment horizontal="center"/>
    </xf>
    <xf numFmtId="0" fontId="14" fillId="5" borderId="3" xfId="0" applyFont="1" applyFill="1" applyBorder="1" applyAlignment="1" applyProtection="1">
      <alignment horizontal="center"/>
      <protection locked="0"/>
    </xf>
    <xf numFmtId="0" fontId="23" fillId="5" borderId="9" xfId="0" applyFon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10" fontId="23" fillId="0" borderId="11" xfId="0" applyNumberFormat="1" applyFont="1" applyBorder="1" applyAlignment="1">
      <alignment horizontal="center"/>
    </xf>
    <xf numFmtId="0" fontId="23" fillId="5" borderId="11" xfId="0" applyFont="1" applyFill="1" applyBorder="1" applyAlignment="1" applyProtection="1">
      <alignment horizontal="center"/>
      <protection locked="0"/>
    </xf>
    <xf numFmtId="3" fontId="23" fillId="0" borderId="11" xfId="0" applyNumberFormat="1" applyFont="1" applyBorder="1" applyAlignment="1">
      <alignment horizontal="center"/>
    </xf>
    <xf numFmtId="168" fontId="170" fillId="0" borderId="0" xfId="0" applyNumberFormat="1" applyFont="1" applyAlignment="1">
      <alignment horizontal="center" vertical="center" wrapText="1"/>
    </xf>
    <xf numFmtId="168" fontId="23" fillId="0" borderId="3" xfId="0" applyNumberFormat="1" applyFont="1" applyBorder="1" applyAlignment="1">
      <alignment horizontal="left" vertical="top"/>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0" fontId="1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3" fillId="5" borderId="11" xfId="0" applyNumberFormat="1" applyFont="1" applyFill="1" applyBorder="1" applyAlignment="1" applyProtection="1">
      <alignment horizontal="center"/>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14"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1" fillId="0" borderId="9" xfId="0" applyFont="1" applyBorder="1" applyAlignment="1">
      <alignment horizontal="center"/>
    </xf>
    <xf numFmtId="0" fontId="23" fillId="0" borderId="4" xfId="0"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14" fillId="0" borderId="11" xfId="543" applyBorder="1" applyAlignment="1">
      <alignment horizontal="center"/>
    </xf>
    <xf numFmtId="175" fontId="0" fillId="5" borderId="4" xfId="0" applyNumberFormat="1" applyFill="1" applyBorder="1" applyAlignment="1" applyProtection="1">
      <alignment horizontal="left" vertical="center" wrapText="1"/>
      <protection locked="0"/>
    </xf>
    <xf numFmtId="0" fontId="14" fillId="5" borderId="11" xfId="0" applyFont="1" applyFill="1" applyBorder="1" applyAlignment="1" applyProtection="1">
      <alignment vertical="center" wrapText="1"/>
      <protection locked="0"/>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0" fontId="23" fillId="5" borderId="4" xfId="0" applyNumberFormat="1" applyFont="1" applyFill="1" applyBorder="1" applyAlignment="1" applyProtection="1">
      <alignment horizontal="right"/>
      <protection locked="0"/>
    </xf>
    <xf numFmtId="0" fontId="22" fillId="43" borderId="6" xfId="0" applyFont="1" applyFill="1" applyBorder="1" applyAlignment="1" applyProtection="1">
      <alignment horizontal="left"/>
      <protection locked="0"/>
    </xf>
    <xf numFmtId="1" fontId="23" fillId="5" borderId="6"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14"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168" fontId="23" fillId="5" borderId="6" xfId="0" applyNumberFormat="1" applyFont="1" applyFill="1" applyBorder="1" applyAlignment="1" applyProtection="1">
      <alignment horizontal="right"/>
      <protection locked="0"/>
    </xf>
    <xf numFmtId="0" fontId="33"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3" fillId="5" borderId="6"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6" fontId="23" fillId="5" borderId="6" xfId="0" applyNumberFormat="1" applyFont="1" applyFill="1" applyBorder="1" applyAlignment="1" applyProtection="1">
      <alignment horizontal="left"/>
      <protection locked="0"/>
    </xf>
    <xf numFmtId="0" fontId="14" fillId="5" borderId="6" xfId="244" applyFon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0" fontId="23" fillId="5" borderId="6" xfId="0" applyFont="1" applyFill="1" applyBorder="1" applyAlignment="1" applyProtection="1">
      <alignment horizontal="left" wrapText="1"/>
      <protection locked="0"/>
    </xf>
    <xf numFmtId="0" fontId="14" fillId="5" borderId="6" xfId="0" applyFont="1" applyFill="1" applyBorder="1" applyAlignment="1" applyProtection="1">
      <alignment horizontal="left" wrapText="1"/>
      <protection locked="0"/>
    </xf>
    <xf numFmtId="166" fontId="23" fillId="5" borderId="6" xfId="271" applyNumberFormat="1" applyFill="1" applyBorder="1" applyAlignment="1" applyProtection="1">
      <alignment horizontal="left"/>
      <protection locked="0"/>
    </xf>
    <xf numFmtId="0" fontId="23" fillId="0" borderId="6" xfId="0" applyFont="1" applyBorder="1" applyAlignment="1">
      <alignment horizontal="left"/>
    </xf>
    <xf numFmtId="166" fontId="23" fillId="5" borderId="4" xfId="271" applyNumberForma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3" fillId="0" borderId="0" xfId="0" applyFont="1" applyAlignment="1">
      <alignment horizontal="left" vertical="top" wrapText="1"/>
    </xf>
    <xf numFmtId="0" fontId="167"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23" fillId="0" borderId="6" xfId="0" applyFont="1" applyBorder="1" applyAlignment="1">
      <alignment horizontal="left" wrapText="1"/>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0" fillId="5" borderId="6" xfId="0" applyFill="1" applyBorder="1" applyProtection="1">
      <protection locked="0"/>
    </xf>
    <xf numFmtId="0" fontId="14" fillId="0" borderId="4" xfId="0" applyFont="1" applyBorder="1" applyAlignment="1" applyProtection="1">
      <alignment horizontal="left"/>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4" fillId="0" borderId="0" xfId="0" applyFont="1" applyAlignment="1" applyProtection="1">
      <alignment horizontal="left"/>
      <protection locked="0"/>
    </xf>
    <xf numFmtId="0" fontId="14" fillId="0" borderId="6" xfId="0" applyFont="1" applyBorder="1" applyAlignment="1">
      <alignment horizontal="left"/>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78" fontId="2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4" fillId="43" borderId="4" xfId="0" applyFont="1" applyFill="1" applyBorder="1" applyAlignment="1" applyProtection="1">
      <alignment horizontal="left" wrapText="1"/>
      <protection locked="0"/>
    </xf>
    <xf numFmtId="172" fontId="0" fillId="5" borderId="6" xfId="0" applyNumberFormat="1" applyFill="1" applyBorder="1" applyAlignment="1" applyProtection="1">
      <alignment horizontal="center"/>
      <protection locked="0"/>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14" fillId="5" borderId="4" xfId="0" applyFont="1" applyFill="1" applyBorder="1" applyAlignment="1" applyProtection="1">
      <alignment wrapText="1"/>
      <protection locked="0"/>
    </xf>
    <xf numFmtId="0" fontId="2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0" borderId="11" xfId="0" applyFont="1" applyBorder="1" applyAlignment="1">
      <alignment horizontal="center"/>
    </xf>
    <xf numFmtId="3" fontId="0" fillId="5" borderId="3"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0" fontId="21" fillId="0" borderId="2" xfId="0" applyFont="1" applyBorder="1" applyAlignment="1">
      <alignment horizontal="center" wrapText="1"/>
    </xf>
    <xf numFmtId="0" fontId="21" fillId="0" borderId="7"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14" fontId="0" fillId="5" borderId="4" xfId="0" applyNumberFormat="1" applyFill="1" applyBorder="1" applyAlignment="1" applyProtection="1">
      <alignment horizontal="center"/>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3" fillId="0" borderId="11" xfId="0" applyFont="1" applyBorder="1" applyAlignment="1">
      <alignment horizontal="center"/>
    </xf>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11" xfId="0" applyNumberFormat="1" applyFill="1" applyBorder="1" applyProtection="1">
      <protection locked="0"/>
    </xf>
    <xf numFmtId="0" fontId="21" fillId="5" borderId="11" xfId="0" applyFont="1" applyFill="1" applyBorder="1" applyAlignment="1" applyProtection="1">
      <alignment horizontal="center"/>
      <protection locked="0"/>
    </xf>
    <xf numFmtId="2" fontId="14" fillId="0" borderId="0" xfId="543" applyNumberFormat="1" applyAlignment="1">
      <alignment horizontal="center"/>
    </xf>
    <xf numFmtId="0" fontId="14"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1" fillId="0" borderId="2" xfId="0" applyFont="1" applyBorder="1" applyAlignment="1">
      <alignment horizontal="right"/>
    </xf>
    <xf numFmtId="0" fontId="21" fillId="0" borderId="7" xfId="0" applyFont="1" applyBorder="1" applyAlignment="1">
      <alignment horizontal="right"/>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14" fillId="0" borderId="11" xfId="543" applyNumberFormat="1" applyBorder="1" applyAlignment="1">
      <alignment horizontal="center"/>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21" fillId="0" borderId="1" xfId="0" applyFont="1" applyBorder="1" applyAlignment="1">
      <alignment horizontal="center" wrapText="1"/>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9" xfId="0" applyFont="1" applyBorder="1" applyAlignment="1">
      <alignment horizontal="center" wrapText="1"/>
    </xf>
    <xf numFmtId="0" fontId="20" fillId="3" borderId="0" xfId="0" applyFont="1" applyFill="1" applyAlignment="1">
      <alignment horizontal="center" vertical="center"/>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71" fontId="14" fillId="0" borderId="0" xfId="543" applyNumberFormat="1" applyAlignment="1">
      <alignment horizontal="center"/>
    </xf>
    <xf numFmtId="171" fontId="14" fillId="0" borderId="0" xfId="543" applyNumberFormat="1" applyAlignment="1">
      <alignment horizontal="right"/>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left"/>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14" fillId="0" borderId="3" xfId="0" applyFont="1" applyBorder="1"/>
    <xf numFmtId="0" fontId="14" fillId="0" borderId="4" xfId="0" applyFont="1" applyBorder="1"/>
    <xf numFmtId="0" fontId="14" fillId="0" borderId="5" xfId="0" applyFont="1" applyBorder="1"/>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51" fillId="5" borderId="3" xfId="0" applyFont="1" applyFill="1" applyBorder="1" applyAlignment="1" applyProtection="1">
      <alignment horizontal="center"/>
      <protection locked="0"/>
    </xf>
    <xf numFmtId="0" fontId="51" fillId="5" borderId="4" xfId="0" applyFont="1" applyFill="1" applyBorder="1" applyAlignment="1" applyProtection="1">
      <alignment horizontal="center"/>
      <protection locked="0"/>
    </xf>
    <xf numFmtId="0" fontId="51" fillId="5" borderId="5" xfId="0" applyFont="1" applyFill="1" applyBorder="1" applyAlignment="1" applyProtection="1">
      <alignment horizontal="center"/>
      <protection locked="0"/>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14" fillId="5" borderId="11" xfId="0" applyFont="1" applyFill="1" applyBorder="1" applyAlignment="1" applyProtection="1">
      <alignment horizontal="left"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9" xfId="0" applyFont="1" applyBorder="1" applyAlignment="1">
      <alignment horizontal="right"/>
    </xf>
    <xf numFmtId="0" fontId="21" fillId="0" borderId="6" xfId="0" applyFont="1" applyBorder="1" applyAlignment="1">
      <alignment horizontal="right"/>
    </xf>
    <xf numFmtId="0" fontId="21" fillId="0" borderId="10" xfId="0" applyFont="1" applyBorder="1" applyAlignment="1">
      <alignment horizontal="right"/>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0" fontId="21" fillId="0" borderId="11" xfId="0" applyFont="1" applyBorder="1" applyAlignment="1">
      <alignment horizontal="center" vertical="center"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2" fontId="0" fillId="0" borderId="6" xfId="0" applyNumberFormat="1" applyBorder="1" applyAlignment="1">
      <alignment horizontal="center"/>
    </xf>
    <xf numFmtId="168" fontId="23"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0" fontId="14" fillId="43" borderId="11" xfId="0" applyFont="1" applyFill="1" applyBorder="1" applyAlignment="1" applyProtection="1">
      <alignment horizontal="center"/>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4" fillId="5" borderId="5" xfId="0" applyFont="1" applyFill="1" applyBorder="1" applyAlignment="1" applyProtection="1">
      <alignment horizontal="left"/>
      <protection locked="0"/>
    </xf>
    <xf numFmtId="9" fontId="14" fillId="0" borderId="0" xfId="543" applyNumberFormat="1" applyAlignment="1">
      <alignment horizontal="center" vertical="center"/>
    </xf>
    <xf numFmtId="0" fontId="21" fillId="0" borderId="12" xfId="0" applyFont="1" applyBorder="1" applyAlignment="1">
      <alignment horizontal="center" wrapText="1"/>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23" fillId="0" borderId="3" xfId="0" applyFont="1" applyBorder="1" applyAlignment="1">
      <alignment horizontal="left"/>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14" fontId="23" fillId="5" borderId="4" xfId="0" applyNumberFormat="1" applyFont="1" applyFill="1" applyBorder="1" applyAlignment="1" applyProtection="1">
      <alignment horizontal="right"/>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3" fillId="0" borderId="11" xfId="0" applyFont="1" applyBorder="1" applyAlignment="1">
      <alignment horizontal="center" vertical="top" wrapText="1"/>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0" borderId="3" xfId="543" applyFont="1" applyBorder="1" applyAlignment="1">
      <alignment horizontal="center"/>
    </xf>
    <xf numFmtId="0" fontId="33" fillId="0" borderId="5" xfId="543" applyFont="1" applyBorder="1" applyAlignment="1">
      <alignment horizontal="center"/>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82" fontId="22" fillId="43" borderId="11" xfId="8722"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0" fontId="21" fillId="0" borderId="11" xfId="0" applyFont="1" applyBorder="1" applyAlignment="1">
      <alignment horizontal="center" vertical="center"/>
    </xf>
    <xf numFmtId="0" fontId="14" fillId="0" borderId="0" xfId="0" applyFont="1" applyAlignment="1">
      <alignment wrapText="1"/>
    </xf>
    <xf numFmtId="172" fontId="21" fillId="0" borderId="11" xfId="0" applyNumberFormat="1" applyFont="1" applyBorder="1" applyAlignment="1">
      <alignment horizontal="center" vertical="center" wrapText="1"/>
    </xf>
    <xf numFmtId="180" fontId="0" fillId="0" borderId="6" xfId="0" applyNumberFormat="1" applyBorder="1" applyAlignment="1">
      <alignment horizontal="center"/>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horizontal="center" vertical="top"/>
    </xf>
    <xf numFmtId="168" fontId="23" fillId="0" borderId="6" xfId="0" applyNumberFormat="1" applyFont="1" applyBorder="1" applyAlignment="1">
      <alignment horizontal="center"/>
    </xf>
    <xf numFmtId="0" fontId="22" fillId="0" borderId="0" xfId="0" applyFont="1" applyAlignment="1">
      <alignment horizontal="center"/>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0" fontId="21" fillId="0" borderId="0" xfId="0" applyFont="1" applyAlignment="1">
      <alignment horizontal="center" vertical="center"/>
    </xf>
    <xf numFmtId="3" fontId="42" fillId="10" borderId="0" xfId="543" applyNumberFormat="1" applyFont="1" applyFill="1" applyAlignment="1">
      <alignment horizontal="left" vertical="center" wrapText="1"/>
    </xf>
    <xf numFmtId="0" fontId="23" fillId="5" borderId="6" xfId="271" applyFill="1" applyBorder="1" applyProtection="1">
      <protection locked="0"/>
    </xf>
    <xf numFmtId="0" fontId="23" fillId="0" borderId="2" xfId="0" applyFont="1" applyBorder="1" applyAlignment="1">
      <alignment horizontal="left" vertical="top" wrapText="1"/>
    </xf>
    <xf numFmtId="177" fontId="23" fillId="5" borderId="6" xfId="0" applyNumberFormat="1" applyFont="1" applyFill="1" applyBorder="1" applyAlignment="1" applyProtection="1">
      <alignment horizontal="left" vertical="top" wrapText="1"/>
      <protection locked="0"/>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23" fillId="0" borderId="6" xfId="0" applyFont="1" applyBorder="1" applyAlignment="1">
      <alignment vertical="top" wrapText="1"/>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2" xfId="0" applyFont="1" applyBorder="1" applyAlignment="1">
      <alignment vertical="top" wrapText="1"/>
    </xf>
    <xf numFmtId="0" fontId="51" fillId="0" borderId="0" xfId="0" applyFont="1" applyAlignment="1">
      <alignmen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0" fontId="14" fillId="45" borderId="11" xfId="4495" applyFont="1" applyFill="1" applyBorder="1" applyAlignment="1">
      <alignment horizontal="center"/>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168" fontId="14" fillId="0" borderId="0" xfId="1192" applyNumberFormat="1" applyAlignment="1">
      <alignment horizontal="right"/>
    </xf>
    <xf numFmtId="0" fontId="140" fillId="0" borderId="0" xfId="1192" applyFont="1" applyAlignment="1">
      <alignment horizontal="center"/>
    </xf>
    <xf numFmtId="168" fontId="14" fillId="43" borderId="6" xfId="543" applyNumberFormat="1" applyFill="1" applyBorder="1" applyAlignment="1" applyProtection="1">
      <alignment horizontal="center"/>
      <protection locked="0"/>
    </xf>
    <xf numFmtId="168" fontId="14" fillId="5" borderId="4" xfId="1192" applyNumberFormat="1" applyFill="1" applyBorder="1" applyAlignment="1" applyProtection="1">
      <alignment horizontal="center"/>
      <protection locked="0"/>
    </xf>
    <xf numFmtId="4" fontId="22" fillId="0" borderId="0" xfId="4495" applyNumberFormat="1" applyFont="1" applyAlignment="1">
      <alignment horizontal="center"/>
    </xf>
    <xf numFmtId="4" fontId="22" fillId="0" borderId="6" xfId="4495" applyNumberFormat="1" applyFont="1" applyBorder="1" applyAlignment="1">
      <alignment horizontal="center"/>
    </xf>
    <xf numFmtId="1" fontId="14" fillId="5" borderId="2" xfId="1192" applyNumberFormat="1" applyFill="1" applyBorder="1" applyAlignment="1" applyProtection="1">
      <alignment horizontal="center"/>
      <protection locked="0"/>
    </xf>
    <xf numFmtId="168" fontId="14" fillId="0" borderId="6" xfId="1192" applyNumberFormat="1" applyBorder="1" applyAlignment="1">
      <alignment horizontal="right"/>
    </xf>
    <xf numFmtId="168" fontId="14" fillId="0" borderId="4" xfId="1192" applyNumberFormat="1" applyBorder="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168" fontId="14" fillId="0" borderId="6" xfId="4496" applyNumberFormat="1" applyFont="1" applyBorder="1" applyAlignment="1">
      <alignment horizontal="center"/>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0" fontId="21" fillId="0" borderId="0" xfId="4495" applyFont="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0" xfId="4495" applyFont="1" applyAlignment="1">
      <alignment horizontal="right"/>
    </xf>
    <xf numFmtId="10" fontId="22" fillId="0" borderId="2" xfId="4495" applyNumberFormat="1" applyFont="1" applyBorder="1" applyAlignment="1">
      <alignment horizontal="center"/>
    </xf>
    <xf numFmtId="0" fontId="22" fillId="0" borderId="0" xfId="4495" applyFont="1" applyAlignment="1">
      <alignment horizontal="center"/>
    </xf>
    <xf numFmtId="9" fontId="22" fillId="5" borderId="6" xfId="4495" applyNumberFormat="1" applyFont="1" applyFill="1" applyBorder="1" applyAlignment="1">
      <alignment horizontal="left"/>
    </xf>
    <xf numFmtId="0" fontId="128" fillId="0" borderId="0" xfId="4495" applyFont="1" applyAlignment="1">
      <alignment horizontal="left" vertical="top" wrapText="1"/>
    </xf>
    <xf numFmtId="0" fontId="30" fillId="42" borderId="2" xfId="4495" applyFont="1" applyFill="1" applyBorder="1" applyAlignment="1">
      <alignment horizontal="center"/>
    </xf>
    <xf numFmtId="0" fontId="30" fillId="42" borderId="6" xfId="4495" applyFont="1" applyFill="1" applyBorder="1" applyAlignment="1">
      <alignment horizontal="center"/>
    </xf>
    <xf numFmtId="0" fontId="21" fillId="0" borderId="11" xfId="4495" applyFont="1" applyBorder="1" applyAlignment="1">
      <alignment horizontal="center"/>
    </xf>
    <xf numFmtId="0" fontId="118" fillId="5" borderId="55" xfId="4495" applyFill="1" applyBorder="1" applyAlignment="1" applyProtection="1">
      <alignment horizontal="center"/>
      <protection locked="0"/>
    </xf>
    <xf numFmtId="0" fontId="118" fillId="5" borderId="6" xfId="4495" applyFill="1" applyBorder="1" applyAlignment="1" applyProtection="1">
      <alignment horizontal="center"/>
      <protection locked="0"/>
    </xf>
    <xf numFmtId="0" fontId="21" fillId="0" borderId="54" xfId="4495" applyFont="1" applyBorder="1" applyAlignment="1">
      <alignment horizontal="center"/>
    </xf>
    <xf numFmtId="0" fontId="14" fillId="5" borderId="6" xfId="4495" applyFont="1" applyFill="1" applyBorder="1" applyAlignment="1" applyProtection="1">
      <alignment horizontal="center" vertical="center" wrapText="1" shrinkToFit="1"/>
      <protection locked="0"/>
    </xf>
    <xf numFmtId="0" fontId="116" fillId="0" borderId="4" xfId="1192" applyFont="1" applyBorder="1" applyAlignment="1">
      <alignment horizontal="left"/>
    </xf>
    <xf numFmtId="0" fontId="140" fillId="0" borderId="6" xfId="1192" applyFont="1" applyBorder="1" applyAlignment="1">
      <alignment horizontal="center"/>
    </xf>
    <xf numFmtId="0" fontId="14" fillId="0" borderId="6" xfId="1192" applyBorder="1" applyAlignment="1">
      <alignment horizontal="left"/>
    </xf>
    <xf numFmtId="9" fontId="14" fillId="5" borderId="4" xfId="1192" applyNumberFormat="1" applyFill="1" applyBorder="1" applyAlignment="1" applyProtection="1">
      <alignment horizontal="left"/>
      <protection locked="0"/>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0" fontId="21" fillId="0" borderId="4" xfId="4495" applyFont="1" applyBorder="1" applyAlignment="1">
      <alignment horizontal="left"/>
    </xf>
    <xf numFmtId="0" fontId="21" fillId="0" borderId="5" xfId="4495" applyFont="1" applyBorder="1" applyAlignment="1">
      <alignment horizontal="left"/>
    </xf>
    <xf numFmtId="1" fontId="21" fillId="0" borderId="11" xfId="4495" applyNumberFormat="1" applyFont="1" applyBorder="1" applyAlignment="1">
      <alignment horizontal="center"/>
    </xf>
    <xf numFmtId="0" fontId="21" fillId="0" borderId="3" xfId="4495"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14" fillId="0" borderId="4" xfId="4495" applyFont="1" applyBorder="1" applyAlignment="1">
      <alignment horizontal="left"/>
    </xf>
    <xf numFmtId="0" fontId="14" fillId="0" borderId="5" xfId="4495" applyFont="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1" fontId="14" fillId="46" borderId="11" xfId="4495" applyNumberFormat="1" applyFont="1" applyFill="1" applyBorder="1" applyAlignment="1">
      <alignment horizontal="center"/>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 fontId="21" fillId="0" borderId="4" xfId="4495" applyNumberFormat="1"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0" fontId="21" fillId="0" borderId="0" xfId="4495" applyFont="1" applyAlignment="1">
      <alignment horizontal="center" vertical="top"/>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5" borderId="50" xfId="4495" applyFill="1" applyBorder="1" applyAlignment="1">
      <alignment horizontal="center"/>
    </xf>
    <xf numFmtId="0" fontId="118" fillId="5" borderId="51" xfId="4495" applyFill="1" applyBorder="1" applyAlignment="1">
      <alignment horizontal="center"/>
    </xf>
    <xf numFmtId="0" fontId="118" fillId="0" borderId="53" xfId="4495" applyBorder="1" applyAlignment="1">
      <alignment horizontal="center"/>
    </xf>
    <xf numFmtId="0" fontId="118" fillId="0" borderId="0" xfId="4495"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2" fillId="0" borderId="58" xfId="4495" applyFont="1" applyBorder="1" applyAlignment="1">
      <alignment horizontal="left" vertical="top" wrapText="1"/>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51" fillId="0" borderId="51" xfId="4495" applyFont="1" applyBorder="1" applyAlignment="1">
      <alignment horizontal="left" wrapText="1"/>
    </xf>
    <xf numFmtId="0" fontId="51" fillId="0" borderId="0" xfId="4495" applyFont="1" applyAlignment="1">
      <alignment horizontal="left" wrapText="1"/>
    </xf>
    <xf numFmtId="0" fontId="21" fillId="0" borderId="54" xfId="4495" applyFont="1" applyBorder="1" applyAlignment="1">
      <alignment horizontal="center" vertical="top"/>
    </xf>
    <xf numFmtId="0" fontId="128" fillId="0" borderId="0" xfId="4495" applyFont="1" applyAlignment="1">
      <alignment horizontal="left" vertical="center" wrapText="1"/>
    </xf>
    <xf numFmtId="0" fontId="21" fillId="0" borderId="0" xfId="4495" applyFont="1" applyAlignment="1">
      <alignment horizontal="left" vertical="top"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14" fillId="0" borderId="0" xfId="4495" applyFont="1" applyAlignment="1">
      <alignment wrapText="1"/>
    </xf>
    <xf numFmtId="0" fontId="14" fillId="5" borderId="6" xfId="4495" applyFont="1"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59" xfId="4495" applyFont="1" applyBorder="1" applyAlignment="1">
      <alignment horizontal="left" vertical="top" wrapText="1"/>
    </xf>
    <xf numFmtId="0" fontId="14" fillId="0" borderId="4" xfId="4496" applyFont="1" applyBorder="1" applyAlignment="1">
      <alignment horizontal="center"/>
    </xf>
    <xf numFmtId="0" fontId="14" fillId="0" borderId="5" xfId="4496" applyFont="1" applyBorder="1" applyAlignment="1">
      <alignment horizontal="center"/>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21" fillId="0" borderId="0" xfId="4495" applyFont="1" applyAlignment="1">
      <alignment horizontal="left" vertical="top"/>
    </xf>
    <xf numFmtId="0" fontId="118" fillId="0" borderId="0" xfId="4495" applyAlignment="1" applyProtection="1">
      <alignment horizontal="center"/>
      <protection locked="0"/>
    </xf>
    <xf numFmtId="9" fontId="14" fillId="0" borderId="4" xfId="543" applyNumberForma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168" fontId="14" fillId="43" borderId="6" xfId="4495" applyNumberFormat="1" applyFont="1" applyFill="1" applyBorder="1" applyAlignment="1" applyProtection="1">
      <alignment horizontal="right"/>
      <protection locked="0"/>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0" fontId="14" fillId="5" borderId="6" xfId="1192" applyFill="1" applyBorder="1" applyAlignment="1" applyProtection="1">
      <alignment horizontal="left"/>
      <protection locked="0"/>
    </xf>
    <xf numFmtId="165" fontId="14" fillId="0" borderId="0" xfId="1192" applyNumberFormat="1" applyAlignment="1">
      <alignment horizontal="right"/>
    </xf>
    <xf numFmtId="2" fontId="14" fillId="0" borderId="0" xfId="1192" applyNumberFormat="1" applyAlignment="1">
      <alignment horizontal="right"/>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14" fillId="5" borderId="6" xfId="4495" applyFont="1" applyFill="1" applyBorder="1" applyAlignment="1" applyProtection="1">
      <alignment horizontal="left"/>
      <protection locked="0"/>
    </xf>
    <xf numFmtId="0" fontId="51" fillId="5" borderId="6" xfId="4495" applyFont="1" applyFill="1" applyBorder="1" applyAlignment="1" applyProtection="1">
      <alignment horizontal="left"/>
      <protection locked="0"/>
    </xf>
    <xf numFmtId="0" fontId="14" fillId="0" borderId="0" xfId="1192" applyAlignment="1">
      <alignment horizontal="right"/>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4" xfId="1192" applyNumberFormat="1" applyFill="1" applyBorder="1" applyAlignment="1" applyProtection="1">
      <alignment horizontal="center"/>
      <protection locked="0"/>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0" fontId="120" fillId="5" borderId="6" xfId="4496" applyFont="1" applyFill="1" applyBorder="1" applyAlignment="1" applyProtection="1">
      <alignment horizontal="center"/>
      <protection locked="0"/>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165" fontId="120" fillId="0" borderId="60"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0" fontId="96" fillId="0" borderId="11" xfId="4496" applyFont="1" applyBorder="1" applyAlignment="1">
      <alignment horizontal="left" indent="1"/>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134" fillId="3" borderId="0" xfId="1192" applyNumberFormat="1" applyFont="1" applyFill="1" applyAlignment="1">
      <alignment horizontal="center" vertical="center"/>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0" fontId="96" fillId="0" borderId="11" xfId="4496" applyFont="1" applyBorder="1"/>
    <xf numFmtId="0" fontId="96" fillId="0" borderId="91" xfId="4496" applyFont="1" applyBorder="1"/>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0" fontId="2" fillId="49" borderId="11" xfId="8726" applyFill="1" applyBorder="1" applyAlignment="1" applyProtection="1">
      <alignment horizontal="center"/>
      <protection locked="0"/>
    </xf>
    <xf numFmtId="0" fontId="2" fillId="49" borderId="91" xfId="8726" applyFill="1" applyBorder="1" applyAlignment="1" applyProtection="1">
      <alignment horizontal="center"/>
      <protection locked="0"/>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146" fillId="49" borderId="89" xfId="8726" applyFont="1" applyFill="1" applyBorder="1" applyAlignment="1" applyProtection="1">
      <alignment horizontal="left"/>
      <protection locked="0"/>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41"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44" fontId="176" fillId="49" borderId="11" xfId="700"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182" fontId="2" fillId="49" borderId="11" xfId="700" applyNumberFormat="1"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44" fontId="2" fillId="44" borderId="11" xfId="700" applyFont="1" applyFill="1" applyBorder="1" applyAlignment="1" applyProtection="1">
      <alignment horizontal="center"/>
      <protection hidden="1"/>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1" fillId="49" borderId="80"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0" fontId="163" fillId="49" borderId="11" xfId="8726"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0" fontId="163" fillId="49" borderId="11" xfId="8726" applyFont="1" applyFill="1" applyBorder="1" applyAlignment="1" applyProtection="1">
      <alignment horizontal="center"/>
      <protection locked="0"/>
    </xf>
    <xf numFmtId="44" fontId="2" fillId="49" borderId="11" xfId="700" applyFont="1"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168" fontId="161" fillId="44" borderId="11" xfId="700" applyNumberFormat="1" applyFont="1" applyFill="1" applyBorder="1" applyAlignment="1">
      <alignment horizontal="left"/>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43" fontId="146" fillId="53" borderId="11" xfId="698" applyFont="1" applyFill="1" applyBorder="1" applyAlignment="1" applyProtection="1">
      <alignment horizontal="left"/>
      <protection hidden="1"/>
    </xf>
    <xf numFmtId="14" fontId="161" fillId="49" borderId="11" xfId="8726" applyNumberFormat="1" applyFont="1" applyFill="1" applyBorder="1" applyAlignment="1" applyProtection="1">
      <alignment horizontal="center"/>
      <protection locked="0"/>
    </xf>
    <xf numFmtId="14" fontId="161" fillId="49" borderId="91" xfId="8726" applyNumberFormat="1" applyFont="1" applyFill="1" applyBorder="1" applyAlignment="1" applyProtection="1">
      <alignment horizontal="center"/>
      <protection locked="0"/>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4" fillId="45" borderId="74" xfId="8726" applyFont="1" applyFill="1" applyBorder="1" applyAlignment="1">
      <alignment horizontal="left"/>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00" fillId="45" borderId="91" xfId="8726" applyFont="1" applyFill="1" applyBorder="1" applyAlignment="1">
      <alignment horizontal="center"/>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57" fillId="49" borderId="11" xfId="8726" applyFont="1" applyFill="1" applyBorder="1" applyAlignment="1" applyProtection="1">
      <alignment horizontal="left"/>
      <protection locked="0"/>
    </xf>
    <xf numFmtId="14" fontId="163"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center"/>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47" fillId="44" borderId="88"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9" fontId="147" fillId="49" borderId="13"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0" fontId="147" fillId="44" borderId="86" xfId="8726"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168" fontId="14" fillId="0" borderId="5" xfId="569" applyNumberFormat="1" applyBorder="1" applyAlignment="1">
      <alignment horizontal="center"/>
    </xf>
    <xf numFmtId="168" fontId="14" fillId="0" borderId="11" xfId="569" applyNumberFormat="1" applyBorder="1" applyAlignment="1">
      <alignment horizontal="center"/>
    </xf>
    <xf numFmtId="168" fontId="14" fillId="0" borderId="3" xfId="569" applyNumberFormat="1" applyBorder="1" applyAlignment="1">
      <alignment horizontal="center"/>
    </xf>
    <xf numFmtId="168" fontId="14" fillId="0" borderId="4" xfId="569" applyNumberFormat="1" applyBorder="1" applyAlignment="1">
      <alignment horizontal="center"/>
    </xf>
    <xf numFmtId="179" fontId="21" fillId="0" borderId="0" xfId="569" applyNumberFormat="1" applyFont="1" applyAlignment="1">
      <alignment horizontal="center" wrapText="1"/>
    </xf>
    <xf numFmtId="0" fontId="21" fillId="0" borderId="16" xfId="271" applyFont="1" applyBorder="1" applyAlignment="1">
      <alignment horizontal="center"/>
    </xf>
    <xf numFmtId="164" fontId="21" fillId="0" borderId="0" xfId="569" applyNumberFormat="1" applyFont="1" applyAlignment="1">
      <alignment horizontal="center"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51" fillId="0" borderId="0" xfId="569" applyFont="1" applyAlignment="1">
      <alignment horizontal="left"/>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9" fontId="14" fillId="0" borderId="5" xfId="569" applyNumberFormat="1" applyBorder="1" applyAlignment="1">
      <alignment horizontal="center"/>
    </xf>
    <xf numFmtId="9" fontId="14" fillId="0" borderId="11"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0" fontId="21" fillId="0" borderId="11" xfId="569" applyFont="1" applyBorder="1" applyAlignment="1">
      <alignment horizontal="center" wrapText="1"/>
    </xf>
    <xf numFmtId="168" fontId="14" fillId="0" borderId="7" xfId="569" applyNumberFormat="1" applyBorder="1" applyAlignment="1">
      <alignment horizontal="center"/>
    </xf>
    <xf numFmtId="168" fontId="14" fillId="0" borderId="15" xfId="569" applyNumberFormat="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0" borderId="11" xfId="569" applyNumberFormat="1" applyBorder="1" applyAlignment="1">
      <alignment horizontal="right"/>
    </xf>
    <xf numFmtId="0" fontId="21" fillId="0" borderId="6" xfId="569" applyFon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569" applyFont="1" applyAlignment="1">
      <alignment horizontal="left" wrapText="1"/>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9" fontId="14" fillId="0" borderId="15" xfId="569" applyNumberFormat="1" applyBorder="1" applyAlignment="1">
      <alignment horizontal="center"/>
    </xf>
    <xf numFmtId="0" fontId="14" fillId="0" borderId="11" xfId="569" applyBorder="1" applyAlignment="1">
      <alignment horizontal="center"/>
    </xf>
    <xf numFmtId="0" fontId="105" fillId="0" borderId="0" xfId="0" applyFont="1" applyAlignment="1">
      <alignment horizontal="left" vertical="top" wrapText="1"/>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17170">
    <cellStyle name="20% - Accent1" xfId="1" builtinId="30" customBuiltin="1"/>
    <cellStyle name="20% - Accent1 10" xfId="4505" xr:uid="{00000000-0005-0000-0000-000001000000}"/>
    <cellStyle name="20% - Accent1 10 2" xfId="12947" xr:uid="{DFD5B115-897E-4607-8A44-F4A526564C9F}"/>
    <cellStyle name="20% - Accent1 11" xfId="8729" xr:uid="{C86ABBDF-98C2-468B-891F-B236DD896D2F}"/>
    <cellStyle name="20% - Accent1 2" xfId="2" xr:uid="{00000000-0005-0000-0000-000002000000}"/>
    <cellStyle name="20% - Accent1 2 10" xfId="8730" xr:uid="{11E14DF6-7879-41AB-B7C8-E13B36A5E21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731E93B5-E479-48A2-BC40-E65A71EFD5DF}"/>
    <cellStyle name="20% - Accent1 2 2 2 2 2 3" xfId="11291" xr:uid="{6930CDDC-FD0C-4F5E-BA2D-A44C0E976F2A}"/>
    <cellStyle name="20% - Accent1 2 2 2 2 3" xfId="4922" xr:uid="{00000000-0005-0000-0000-000008000000}"/>
    <cellStyle name="20% - Accent1 2 2 2 2 3 2" xfId="13364" xr:uid="{04451DB8-5EA3-48E0-B393-E78F6FA10D6E}"/>
    <cellStyle name="20% - Accent1 2 2 2 2 4" xfId="9146" xr:uid="{72CB99D3-2057-411D-9DDF-AFDD493701F8}"/>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CB4D7683-A44C-489C-BAE8-A3D1DD795D7C}"/>
    <cellStyle name="20% - Accent1 2 2 2 3 2 3" xfId="11704" xr:uid="{2531A075-035D-4F64-93F4-E3E7EF7D09CA}"/>
    <cellStyle name="20% - Accent1 2 2 2 3 3" xfId="5335" xr:uid="{00000000-0005-0000-0000-00000C000000}"/>
    <cellStyle name="20% - Accent1 2 2 2 3 3 2" xfId="13777" xr:uid="{71B6F562-F752-4477-A9D2-B0954358A53E}"/>
    <cellStyle name="20% - Accent1 2 2 2 3 4" xfId="9559" xr:uid="{B095ADB8-043A-43B1-88C9-C176657FA676}"/>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BEADF457-D9CB-48D3-B59B-F9E8ADD6708F}"/>
    <cellStyle name="20% - Accent1 2 2 2 4 2 3" xfId="12117" xr:uid="{C7464E26-1C1D-4A80-B4FF-61D2640EE0CB}"/>
    <cellStyle name="20% - Accent1 2 2 2 4 3" xfId="5748" xr:uid="{00000000-0005-0000-0000-000010000000}"/>
    <cellStyle name="20% - Accent1 2 2 2 4 3 2" xfId="14190" xr:uid="{D5D4D05A-BE57-467E-830A-85CACEBAF3D0}"/>
    <cellStyle name="20% - Accent1 2 2 2 4 4" xfId="9972" xr:uid="{10660203-EAEE-46E7-992E-0FB582EEE435}"/>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06237122-CA34-48D0-91ED-FF1F959F2B88}"/>
    <cellStyle name="20% - Accent1 2 2 2 5 2 3" xfId="12530" xr:uid="{4C164C0E-9E15-44C5-A847-924EE2E96F33}"/>
    <cellStyle name="20% - Accent1 2 2 2 5 3" xfId="6161" xr:uid="{00000000-0005-0000-0000-000014000000}"/>
    <cellStyle name="20% - Accent1 2 2 2 5 3 2" xfId="14603" xr:uid="{3C00F11B-14A6-477B-987F-BF642360D78C}"/>
    <cellStyle name="20% - Accent1 2 2 2 5 4" xfId="10385" xr:uid="{1C5AC47B-9B2B-4B12-BCC9-2B655EA4F6B3}"/>
    <cellStyle name="20% - Accent1 2 2 2 6" xfId="2267" xr:uid="{00000000-0005-0000-0000-000015000000}"/>
    <cellStyle name="20% - Accent1 2 2 2 6 2" xfId="6574" xr:uid="{00000000-0005-0000-0000-000016000000}"/>
    <cellStyle name="20% - Accent1 2 2 2 6 2 2" xfId="15016" xr:uid="{178A09CD-EF33-47DB-8AE8-F58A3E90B137}"/>
    <cellStyle name="20% - Accent1 2 2 2 6 3" xfId="10798" xr:uid="{4F8DA4FF-74CE-49C1-8617-8486BED50F09}"/>
    <cellStyle name="20% - Accent1 2 2 2 7" xfId="4508" xr:uid="{00000000-0005-0000-0000-000017000000}"/>
    <cellStyle name="20% - Accent1 2 2 2 7 2" xfId="12950" xr:uid="{90B0A708-8B92-46AE-BD3D-CD222F94109D}"/>
    <cellStyle name="20% - Accent1 2 2 2 8" xfId="8732" xr:uid="{D432B28A-B6FE-4DC4-A7BE-A69E2A81A3AB}"/>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E455A0FE-5546-4D8F-8E30-208A18F42F9A}"/>
    <cellStyle name="20% - Accent1 2 2 3 2 3" xfId="11290" xr:uid="{EA0B121E-FEF3-4040-8C4A-F42160233305}"/>
    <cellStyle name="20% - Accent1 2 2 3 3" xfId="4921" xr:uid="{00000000-0005-0000-0000-00001B000000}"/>
    <cellStyle name="20% - Accent1 2 2 3 3 2" xfId="13363" xr:uid="{0D5696B0-12EA-414B-9F18-14FBD52BA7C4}"/>
    <cellStyle name="20% - Accent1 2 2 3 4" xfId="9145" xr:uid="{CE259873-5DC7-4078-848C-A469C2D9C03D}"/>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4F3C2135-B910-47B2-A9DD-47953E858E9F}"/>
    <cellStyle name="20% - Accent1 2 2 4 2 3" xfId="11703" xr:uid="{5CC326FE-A20C-4861-AC29-CEBDE7637B60}"/>
    <cellStyle name="20% - Accent1 2 2 4 3" xfId="5334" xr:uid="{00000000-0005-0000-0000-00001F000000}"/>
    <cellStyle name="20% - Accent1 2 2 4 3 2" xfId="13776" xr:uid="{E3B18F28-0717-438B-87F8-FF4F9D75208F}"/>
    <cellStyle name="20% - Accent1 2 2 4 4" xfId="9558" xr:uid="{79C87E61-98FE-4DC7-BB7A-0540A962ADF8}"/>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884B0B36-4D50-4C67-B15A-6E219EB63617}"/>
    <cellStyle name="20% - Accent1 2 2 5 2 3" xfId="12116" xr:uid="{83147346-4BAE-4C47-B4C0-B36C62CE189A}"/>
    <cellStyle name="20% - Accent1 2 2 5 3" xfId="5747" xr:uid="{00000000-0005-0000-0000-000023000000}"/>
    <cellStyle name="20% - Accent1 2 2 5 3 2" xfId="14189" xr:uid="{E6BF6D53-ED31-4DC6-B9AA-32EC2CC564C3}"/>
    <cellStyle name="20% - Accent1 2 2 5 4" xfId="9971" xr:uid="{3A706CC2-7C68-42BF-82B6-0207C4D993FB}"/>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DDF5A68F-0368-4B8A-9A1A-FD7ADBA643A7}"/>
    <cellStyle name="20% - Accent1 2 2 6 2 3" xfId="12529" xr:uid="{3B22B110-1E19-4F2B-B6C9-5AFC6B273A71}"/>
    <cellStyle name="20% - Accent1 2 2 6 3" xfId="6160" xr:uid="{00000000-0005-0000-0000-000027000000}"/>
    <cellStyle name="20% - Accent1 2 2 6 3 2" xfId="14602" xr:uid="{AB890C63-D805-4264-887B-1F88AA0AE755}"/>
    <cellStyle name="20% - Accent1 2 2 6 4" xfId="10384" xr:uid="{C433E304-61A3-46B4-81B2-3C1C97A47BA6}"/>
    <cellStyle name="20% - Accent1 2 2 7" xfId="2266" xr:uid="{00000000-0005-0000-0000-000028000000}"/>
    <cellStyle name="20% - Accent1 2 2 7 2" xfId="6573" xr:uid="{00000000-0005-0000-0000-000029000000}"/>
    <cellStyle name="20% - Accent1 2 2 7 2 2" xfId="15015" xr:uid="{EA08C6D2-D976-45CC-A1F0-A215AF20A251}"/>
    <cellStyle name="20% - Accent1 2 2 7 3" xfId="10797" xr:uid="{3ABD6022-F095-4476-92E4-DB157DCCC306}"/>
    <cellStyle name="20% - Accent1 2 2 8" xfId="4507" xr:uid="{00000000-0005-0000-0000-00002A000000}"/>
    <cellStyle name="20% - Accent1 2 2 8 2" xfId="12949" xr:uid="{3F429938-DE0A-4B10-9BA2-5395A759295F}"/>
    <cellStyle name="20% - Accent1 2 2 9" xfId="8731" xr:uid="{44042DA2-38AE-417D-AAF5-4ADFBFD84D25}"/>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A78B26F8-4380-4230-B03E-598F17D6F8A7}"/>
    <cellStyle name="20% - Accent1 2 3 2 2 3" xfId="11292" xr:uid="{B7E14373-6BE8-4BC0-8522-0BD457071883}"/>
    <cellStyle name="20% - Accent1 2 3 2 3" xfId="4923" xr:uid="{00000000-0005-0000-0000-00002F000000}"/>
    <cellStyle name="20% - Accent1 2 3 2 3 2" xfId="13365" xr:uid="{AC102F13-3D25-4881-8BC3-4DA39E45BD5E}"/>
    <cellStyle name="20% - Accent1 2 3 2 4" xfId="9147" xr:uid="{A6E79F38-E8CE-48BA-9A9B-DB5344EFDE3D}"/>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FF2DE14E-C92B-4187-AB05-9FC1074A0E33}"/>
    <cellStyle name="20% - Accent1 2 3 3 2 3" xfId="11705" xr:uid="{630AFF6D-F8E8-4D19-BF3A-0BE9F8185FCB}"/>
    <cellStyle name="20% - Accent1 2 3 3 3" xfId="5336" xr:uid="{00000000-0005-0000-0000-000033000000}"/>
    <cellStyle name="20% - Accent1 2 3 3 3 2" xfId="13778" xr:uid="{B2305AB5-F495-4348-B893-EDF9E7AECA3E}"/>
    <cellStyle name="20% - Accent1 2 3 3 4" xfId="9560" xr:uid="{AAF369A8-9EA9-4C1E-96AE-C58AACFFAB14}"/>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EBE7ADFE-18FA-40FE-B413-11B362CBD717}"/>
    <cellStyle name="20% - Accent1 2 3 4 2 3" xfId="12118" xr:uid="{E62FBCA1-5E96-4CA3-A606-1BCFF908901A}"/>
    <cellStyle name="20% - Accent1 2 3 4 3" xfId="5749" xr:uid="{00000000-0005-0000-0000-000037000000}"/>
    <cellStyle name="20% - Accent1 2 3 4 3 2" xfId="14191" xr:uid="{EF4CECD2-351E-4A15-8065-FE0CE6B08CAB}"/>
    <cellStyle name="20% - Accent1 2 3 4 4" xfId="9973" xr:uid="{E837202A-CF3D-440C-AF1B-4D4878C16BAC}"/>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7616EE5D-8821-4075-9C43-AA425D7B2FD6}"/>
    <cellStyle name="20% - Accent1 2 3 5 2 3" xfId="12531" xr:uid="{B409CB60-960A-4FD4-9DF4-B03DCFDC4B66}"/>
    <cellStyle name="20% - Accent1 2 3 5 3" xfId="6162" xr:uid="{00000000-0005-0000-0000-00003B000000}"/>
    <cellStyle name="20% - Accent1 2 3 5 3 2" xfId="14604" xr:uid="{FEC34DE6-3BB9-4C21-B366-7A1E55313903}"/>
    <cellStyle name="20% - Accent1 2 3 5 4" xfId="10386" xr:uid="{8B762016-BA38-4470-874C-E1BADFA1348C}"/>
    <cellStyle name="20% - Accent1 2 3 6" xfId="2268" xr:uid="{00000000-0005-0000-0000-00003C000000}"/>
    <cellStyle name="20% - Accent1 2 3 6 2" xfId="6575" xr:uid="{00000000-0005-0000-0000-00003D000000}"/>
    <cellStyle name="20% - Accent1 2 3 6 2 2" xfId="15017" xr:uid="{9B67CA55-E5F0-4550-8559-501B48A06154}"/>
    <cellStyle name="20% - Accent1 2 3 6 3" xfId="10799" xr:uid="{750A3D6C-94E4-47D1-9A3F-9746ADA0CD52}"/>
    <cellStyle name="20% - Accent1 2 3 7" xfId="4509" xr:uid="{00000000-0005-0000-0000-00003E000000}"/>
    <cellStyle name="20% - Accent1 2 3 7 2" xfId="12951" xr:uid="{166C3B91-B006-4D82-9762-B2C1DE3B39AA}"/>
    <cellStyle name="20% - Accent1 2 3 8" xfId="8733" xr:uid="{31B85CB3-9461-4DB6-8BE9-FA290A45D039}"/>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F0F6BC1B-CEE1-4B47-BC4F-085D32022C82}"/>
    <cellStyle name="20% - Accent1 2 4 2 3" xfId="11289" xr:uid="{6F052B8C-2F46-47C7-B847-7B9FC0FC1538}"/>
    <cellStyle name="20% - Accent1 2 4 3" xfId="4920" xr:uid="{00000000-0005-0000-0000-000042000000}"/>
    <cellStyle name="20% - Accent1 2 4 3 2" xfId="13362" xr:uid="{853ADF10-20A3-4203-9878-BB9D5F562999}"/>
    <cellStyle name="20% - Accent1 2 4 4" xfId="9144" xr:uid="{08D7787C-C845-4E3F-B7ED-842036EE3898}"/>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4AEAC827-BF27-4BA2-B01D-7D01F65C3DB4}"/>
    <cellStyle name="20% - Accent1 2 5 2 3" xfId="11702" xr:uid="{9361C4AF-04EB-4534-BAE0-B1A89A40DE24}"/>
    <cellStyle name="20% - Accent1 2 5 3" xfId="5333" xr:uid="{00000000-0005-0000-0000-000046000000}"/>
    <cellStyle name="20% - Accent1 2 5 3 2" xfId="13775" xr:uid="{7C5E112E-94C6-4A2F-ADA6-A43FD004A7CB}"/>
    <cellStyle name="20% - Accent1 2 5 4" xfId="9557" xr:uid="{72F5C708-E8CF-48BA-B5E8-54F4D162E2C5}"/>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0F697261-C732-4E4F-AE91-9E966433F608}"/>
    <cellStyle name="20% - Accent1 2 6 2 3" xfId="12115" xr:uid="{E801C4D1-5C9F-460A-A999-19F6DEF431ED}"/>
    <cellStyle name="20% - Accent1 2 6 3" xfId="5746" xr:uid="{00000000-0005-0000-0000-00004A000000}"/>
    <cellStyle name="20% - Accent1 2 6 3 2" xfId="14188" xr:uid="{00023588-9260-4A5C-BEF0-C606A73F4E86}"/>
    <cellStyle name="20% - Accent1 2 6 4" xfId="9970" xr:uid="{313D670C-F985-40AB-9CCF-78B80F17DDD1}"/>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E4B9DC62-7BB1-44A4-876F-638D8137D84B}"/>
    <cellStyle name="20% - Accent1 2 7 2 3" xfId="12528" xr:uid="{F50A5FAE-FEA7-40A0-824A-0164334FCC4E}"/>
    <cellStyle name="20% - Accent1 2 7 3" xfId="6159" xr:uid="{00000000-0005-0000-0000-00004E000000}"/>
    <cellStyle name="20% - Accent1 2 7 3 2" xfId="14601" xr:uid="{17516C03-4069-4B03-AB4C-911E219AF955}"/>
    <cellStyle name="20% - Accent1 2 7 4" xfId="10383" xr:uid="{A356B2B0-B379-4B8D-85F0-D316EA0895F4}"/>
    <cellStyle name="20% - Accent1 2 8" xfId="2265" xr:uid="{00000000-0005-0000-0000-00004F000000}"/>
    <cellStyle name="20% - Accent1 2 8 2" xfId="6572" xr:uid="{00000000-0005-0000-0000-000050000000}"/>
    <cellStyle name="20% - Accent1 2 8 2 2" xfId="15014" xr:uid="{8E647ACA-1005-47AC-8DAC-17D4B86E42FC}"/>
    <cellStyle name="20% - Accent1 2 8 3" xfId="10796" xr:uid="{20372607-DE7C-4952-85BC-1EC62830BF10}"/>
    <cellStyle name="20% - Accent1 2 9" xfId="4506" xr:uid="{00000000-0005-0000-0000-000051000000}"/>
    <cellStyle name="20% - Accent1 2 9 2" xfId="12948" xr:uid="{E70A725F-CF3A-4AB2-9095-88FFFE762206}"/>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BB815F30-924E-4A35-A4FD-CD072FF59B0F}"/>
    <cellStyle name="20% - Accent1 3 2 2 2 3" xfId="11294" xr:uid="{4C413679-BC9E-4DA1-9848-E75AB1925B4F}"/>
    <cellStyle name="20% - Accent1 3 2 2 3" xfId="4925" xr:uid="{00000000-0005-0000-0000-000057000000}"/>
    <cellStyle name="20% - Accent1 3 2 2 3 2" xfId="13367" xr:uid="{3291D5DE-61D8-4419-B324-B66BC0E8D3A3}"/>
    <cellStyle name="20% - Accent1 3 2 2 4" xfId="9149" xr:uid="{AF6ABE6E-891B-4C05-8DDF-628FD2FF0D02}"/>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09872EBA-B0BE-4C39-8556-E54F16083985}"/>
    <cellStyle name="20% - Accent1 3 2 3 2 3" xfId="11707" xr:uid="{303B43B7-9372-4A0E-9101-52A31D196380}"/>
    <cellStyle name="20% - Accent1 3 2 3 3" xfId="5338" xr:uid="{00000000-0005-0000-0000-00005B000000}"/>
    <cellStyle name="20% - Accent1 3 2 3 3 2" xfId="13780" xr:uid="{F12E5076-5848-4BAA-80D6-B7B35AFC492F}"/>
    <cellStyle name="20% - Accent1 3 2 3 4" xfId="9562" xr:uid="{59114077-B140-4E07-A46E-BA74DDC6F237}"/>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95E05A43-476D-424D-A4D7-E807C1121D7D}"/>
    <cellStyle name="20% - Accent1 3 2 4 2 3" xfId="12120" xr:uid="{EB730825-5F49-4F00-9B1C-2F5E29B92390}"/>
    <cellStyle name="20% - Accent1 3 2 4 3" xfId="5751" xr:uid="{00000000-0005-0000-0000-00005F000000}"/>
    <cellStyle name="20% - Accent1 3 2 4 3 2" xfId="14193" xr:uid="{09975527-C9DE-47E8-8AED-4167D844FC00}"/>
    <cellStyle name="20% - Accent1 3 2 4 4" xfId="9975" xr:uid="{1CA45B6F-11CB-4384-8F26-F4AF7C361BEB}"/>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50BE5608-EE27-4243-8B0F-B167C9799E95}"/>
    <cellStyle name="20% - Accent1 3 2 5 2 3" xfId="12533" xr:uid="{0BB3A350-B543-4A79-9968-9501D58DFADF}"/>
    <cellStyle name="20% - Accent1 3 2 5 3" xfId="6164" xr:uid="{00000000-0005-0000-0000-000063000000}"/>
    <cellStyle name="20% - Accent1 3 2 5 3 2" xfId="14606" xr:uid="{15A0D255-3605-45B2-9CC1-B209A90B0B2F}"/>
    <cellStyle name="20% - Accent1 3 2 5 4" xfId="10388" xr:uid="{BD42AEA2-CA9F-461B-94A5-D6AD369973B1}"/>
    <cellStyle name="20% - Accent1 3 2 6" xfId="2270" xr:uid="{00000000-0005-0000-0000-000064000000}"/>
    <cellStyle name="20% - Accent1 3 2 6 2" xfId="6577" xr:uid="{00000000-0005-0000-0000-000065000000}"/>
    <cellStyle name="20% - Accent1 3 2 6 2 2" xfId="15019" xr:uid="{32D23719-AACE-486C-A2F4-E1A3BBC251A0}"/>
    <cellStyle name="20% - Accent1 3 2 6 3" xfId="10801" xr:uid="{7FE322B7-14F8-40CD-82A1-AB9F92048E47}"/>
    <cellStyle name="20% - Accent1 3 2 7" xfId="4511" xr:uid="{00000000-0005-0000-0000-000066000000}"/>
    <cellStyle name="20% - Accent1 3 2 7 2" xfId="12953" xr:uid="{C762875C-CAFA-4254-B2B6-406015A64C5E}"/>
    <cellStyle name="20% - Accent1 3 2 8" xfId="8735" xr:uid="{D169F944-B934-4F38-BAF8-2AF40FDEB793}"/>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483115D2-4FF5-4DF4-88BE-8034C1C3488F}"/>
    <cellStyle name="20% - Accent1 3 3 2 3" xfId="11293" xr:uid="{46A32D64-373D-4407-8B35-12812287AC45}"/>
    <cellStyle name="20% - Accent1 3 3 3" xfId="4924" xr:uid="{00000000-0005-0000-0000-00006A000000}"/>
    <cellStyle name="20% - Accent1 3 3 3 2" xfId="13366" xr:uid="{105B8944-5F27-4E6D-9C1B-C266DF7E7D69}"/>
    <cellStyle name="20% - Accent1 3 3 4" xfId="9148" xr:uid="{EB57DEE8-C62A-4596-A8BF-69C6257C9A18}"/>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07EEB3A4-21F8-482D-A68F-0892C043EEE7}"/>
    <cellStyle name="20% - Accent1 3 4 2 3" xfId="11706" xr:uid="{0902EDE1-D819-4D69-84E0-DF017525B17E}"/>
    <cellStyle name="20% - Accent1 3 4 3" xfId="5337" xr:uid="{00000000-0005-0000-0000-00006E000000}"/>
    <cellStyle name="20% - Accent1 3 4 3 2" xfId="13779" xr:uid="{D8422C77-20C7-4CFA-BDA7-DD06179B84BC}"/>
    <cellStyle name="20% - Accent1 3 4 4" xfId="9561" xr:uid="{F27E0709-4474-47D1-9D5A-C87AEB16E5C0}"/>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4D737C05-76FC-45B6-91C4-A507CFDE4C06}"/>
    <cellStyle name="20% - Accent1 3 5 2 3" xfId="12119" xr:uid="{21DB1A72-8984-469B-AB42-E943FFA8554F}"/>
    <cellStyle name="20% - Accent1 3 5 3" xfId="5750" xr:uid="{00000000-0005-0000-0000-000072000000}"/>
    <cellStyle name="20% - Accent1 3 5 3 2" xfId="14192" xr:uid="{9875BD5D-9900-4B0D-BF88-3CD799D29A83}"/>
    <cellStyle name="20% - Accent1 3 5 4" xfId="9974" xr:uid="{BADB5F9E-E3F2-485D-AB6A-DF32D31F1357}"/>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FEB228C0-5F30-4F19-BCC0-7BB38303A685}"/>
    <cellStyle name="20% - Accent1 3 6 2 3" xfId="12532" xr:uid="{57357BD0-74D4-43E4-8908-99ECD95C936B}"/>
    <cellStyle name="20% - Accent1 3 6 3" xfId="6163" xr:uid="{00000000-0005-0000-0000-000076000000}"/>
    <cellStyle name="20% - Accent1 3 6 3 2" xfId="14605" xr:uid="{9EE96F42-C4BB-4615-A0C5-05CBB883B628}"/>
    <cellStyle name="20% - Accent1 3 6 4" xfId="10387" xr:uid="{1312D692-4992-4EA6-90F8-6762CB49D3A5}"/>
    <cellStyle name="20% - Accent1 3 7" xfId="2269" xr:uid="{00000000-0005-0000-0000-000077000000}"/>
    <cellStyle name="20% - Accent1 3 7 2" xfId="6576" xr:uid="{00000000-0005-0000-0000-000078000000}"/>
    <cellStyle name="20% - Accent1 3 7 2 2" xfId="15018" xr:uid="{38DA7075-A313-45F9-B214-BC93DA677EDE}"/>
    <cellStyle name="20% - Accent1 3 7 3" xfId="10800" xr:uid="{06BB45A9-4BEB-4043-A53A-7C473BAA7E47}"/>
    <cellStyle name="20% - Accent1 3 8" xfId="4510" xr:uid="{00000000-0005-0000-0000-000079000000}"/>
    <cellStyle name="20% - Accent1 3 8 2" xfId="12952" xr:uid="{1589F22F-00C4-4F41-8945-4E46FF9DAA29}"/>
    <cellStyle name="20% - Accent1 3 9" xfId="8734" xr:uid="{86DD2A63-DC58-4994-81E8-1FD09241C8E9}"/>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8EE5DA2C-28F5-4A36-A46C-CA0AECE17A52}"/>
    <cellStyle name="20% - Accent1 4 2 2 3" xfId="11295" xr:uid="{CC5EEE96-DCB7-4F51-8CF8-FAEC14A02970}"/>
    <cellStyle name="20% - Accent1 4 2 3" xfId="4926" xr:uid="{00000000-0005-0000-0000-00007E000000}"/>
    <cellStyle name="20% - Accent1 4 2 3 2" xfId="13368" xr:uid="{FCE122BB-F0DB-44BA-95B5-20121938336E}"/>
    <cellStyle name="20% - Accent1 4 2 4" xfId="9150" xr:uid="{1AE73A4B-4126-4117-8136-3016BCDFFB05}"/>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15A6922B-E22B-46DA-9A1D-6FBA40CFF0CD}"/>
    <cellStyle name="20% - Accent1 4 3 2 3" xfId="11708" xr:uid="{12B1EAD0-44A3-443C-A880-33DCC5E60EC4}"/>
    <cellStyle name="20% - Accent1 4 3 3" xfId="5339" xr:uid="{00000000-0005-0000-0000-000082000000}"/>
    <cellStyle name="20% - Accent1 4 3 3 2" xfId="13781" xr:uid="{6C096C69-B7DA-4C8F-B838-E2B0B94883AF}"/>
    <cellStyle name="20% - Accent1 4 3 4" xfId="9563" xr:uid="{A6676148-B1D3-4799-86E0-6E819A5B0BD6}"/>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9C94093B-7746-43C1-BF4E-BB4C3AC63906}"/>
    <cellStyle name="20% - Accent1 4 4 2 3" xfId="12121" xr:uid="{ABF89A8C-BA9B-48BF-81FD-CC37465273F6}"/>
    <cellStyle name="20% - Accent1 4 4 3" xfId="5752" xr:uid="{00000000-0005-0000-0000-000086000000}"/>
    <cellStyle name="20% - Accent1 4 4 3 2" xfId="14194" xr:uid="{21CC635D-B3AB-4343-9562-E9F2828C3E60}"/>
    <cellStyle name="20% - Accent1 4 4 4" xfId="9976" xr:uid="{0998AE7F-B69C-434A-86E6-B6A712A9538C}"/>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10053796-ED0A-4C35-A1BF-37D39638019E}"/>
    <cellStyle name="20% - Accent1 4 5 2 3" xfId="12534" xr:uid="{A7A07B04-1AF2-461C-90D9-9912F97BACD1}"/>
    <cellStyle name="20% - Accent1 4 5 3" xfId="6165" xr:uid="{00000000-0005-0000-0000-00008A000000}"/>
    <cellStyle name="20% - Accent1 4 5 3 2" xfId="14607" xr:uid="{84E476C1-2368-48BD-B26E-FD5266B0B587}"/>
    <cellStyle name="20% - Accent1 4 5 4" xfId="10389" xr:uid="{E9909B6D-B985-4E31-A73C-88E2802B677D}"/>
    <cellStyle name="20% - Accent1 4 6" xfId="2271" xr:uid="{00000000-0005-0000-0000-00008B000000}"/>
    <cellStyle name="20% - Accent1 4 6 2" xfId="6578" xr:uid="{00000000-0005-0000-0000-00008C000000}"/>
    <cellStyle name="20% - Accent1 4 6 2 2" xfId="15020" xr:uid="{C2C6FA8D-9782-44CD-AFCF-605BEEE81CEA}"/>
    <cellStyle name="20% - Accent1 4 6 3" xfId="10802" xr:uid="{252237BD-8E25-4BDF-BA16-F6AF674FAFB5}"/>
    <cellStyle name="20% - Accent1 4 7" xfId="4512" xr:uid="{00000000-0005-0000-0000-00008D000000}"/>
    <cellStyle name="20% - Accent1 4 7 2" xfId="12954" xr:uid="{F08A25C0-F531-426F-8CF8-FFA990252083}"/>
    <cellStyle name="20% - Accent1 4 8" xfId="8736" xr:uid="{FB218385-A59F-4334-AF26-D3F24CBCAC7E}"/>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A786EC97-F0F8-4CDE-901B-8DF0C4A58613}"/>
    <cellStyle name="20% - Accent1 5 2 3" xfId="11288" xr:uid="{291C3FCB-77CF-4529-ACB0-26DE0B9FDCE5}"/>
    <cellStyle name="20% - Accent1 5 3" xfId="4919" xr:uid="{00000000-0005-0000-0000-000091000000}"/>
    <cellStyle name="20% - Accent1 5 3 2" xfId="13361" xr:uid="{EDB3E7D4-D1A9-4E8D-9A2C-AB32A30ECA11}"/>
    <cellStyle name="20% - Accent1 5 4" xfId="9143" xr:uid="{39B60A24-BDF7-4ADD-9530-3BA217E8872B}"/>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78C0084B-10EE-4F31-BB1A-54F81A6DDFF2}"/>
    <cellStyle name="20% - Accent1 6 2 3" xfId="11701" xr:uid="{B58CF43C-3A0A-412D-A244-A52C44630ED2}"/>
    <cellStyle name="20% - Accent1 6 3" xfId="5332" xr:uid="{00000000-0005-0000-0000-000095000000}"/>
    <cellStyle name="20% - Accent1 6 3 2" xfId="13774" xr:uid="{EBFA3E8D-DA0F-46C7-807B-27B41BC3D255}"/>
    <cellStyle name="20% - Accent1 6 4" xfId="9556" xr:uid="{CC17A68E-C02F-492D-BF1E-2257146D8B59}"/>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D5DD9324-8152-4533-A582-A973A41341FD}"/>
    <cellStyle name="20% - Accent1 7 2 3" xfId="12114" xr:uid="{58ED9F22-BA06-4A06-908A-0FE47EF8A890}"/>
    <cellStyle name="20% - Accent1 7 3" xfId="5745" xr:uid="{00000000-0005-0000-0000-000099000000}"/>
    <cellStyle name="20% - Accent1 7 3 2" xfId="14187" xr:uid="{D73BBE52-231B-4087-A14C-2DD72CD541F7}"/>
    <cellStyle name="20% - Accent1 7 4" xfId="9969" xr:uid="{B555594B-7B77-4100-90CF-3BB3CE133E69}"/>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9C265E35-2562-41A4-80EE-482E6972081F}"/>
    <cellStyle name="20% - Accent1 8 2 3" xfId="12527" xr:uid="{975D756E-E6C0-44A3-A694-9A2B6117D359}"/>
    <cellStyle name="20% - Accent1 8 3" xfId="6158" xr:uid="{00000000-0005-0000-0000-00009D000000}"/>
    <cellStyle name="20% - Accent1 8 3 2" xfId="14600" xr:uid="{F9C8D708-31DF-45E2-B1CB-E54BF4E3BA7F}"/>
    <cellStyle name="20% - Accent1 8 4" xfId="10382" xr:uid="{84044D8F-A2AD-4C94-86A7-73BD15903553}"/>
    <cellStyle name="20% - Accent1 9" xfId="2264" xr:uid="{00000000-0005-0000-0000-00009E000000}"/>
    <cellStyle name="20% - Accent1 9 2" xfId="6571" xr:uid="{00000000-0005-0000-0000-00009F000000}"/>
    <cellStyle name="20% - Accent1 9 2 2" xfId="15013" xr:uid="{DA8FCD5E-146B-4598-B718-939E59ED9671}"/>
    <cellStyle name="20% - Accent1 9 3" xfId="10795" xr:uid="{22BD3522-80ED-4D05-AB0C-907FCF6D77E6}"/>
    <cellStyle name="20% - Accent2" xfId="9" builtinId="34" customBuiltin="1"/>
    <cellStyle name="20% - Accent2 10" xfId="4513" xr:uid="{00000000-0005-0000-0000-0000A1000000}"/>
    <cellStyle name="20% - Accent2 10 2" xfId="12955" xr:uid="{3046E629-EC7B-4A6F-B0B6-5A74580F01B8}"/>
    <cellStyle name="20% - Accent2 11" xfId="8737" xr:uid="{6F2F3025-13A3-4678-A8DB-803508604976}"/>
    <cellStyle name="20% - Accent2 2" xfId="10" xr:uid="{00000000-0005-0000-0000-0000A2000000}"/>
    <cellStyle name="20% - Accent2 2 10" xfId="8738" xr:uid="{7664726F-5123-45F4-94CB-A8153F61B6F8}"/>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47DA942B-A9A2-4383-81F3-54F60D841DCA}"/>
    <cellStyle name="20% - Accent2 2 2 2 2 2 3" xfId="11299" xr:uid="{F4054303-462A-4304-A8EE-00890F3EA6BC}"/>
    <cellStyle name="20% - Accent2 2 2 2 2 3" xfId="4930" xr:uid="{00000000-0005-0000-0000-0000A8000000}"/>
    <cellStyle name="20% - Accent2 2 2 2 2 3 2" xfId="13372" xr:uid="{CAF23B5E-3848-4A49-9F06-03AB3955F53B}"/>
    <cellStyle name="20% - Accent2 2 2 2 2 4" xfId="9154" xr:uid="{A5F3CEBE-9E94-486E-B928-46FD21430913}"/>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CF27CE2E-7693-4AE3-AAAC-59914978C9B1}"/>
    <cellStyle name="20% - Accent2 2 2 2 3 2 3" xfId="11712" xr:uid="{0598E500-B376-443F-A7B6-20FF318DA98A}"/>
    <cellStyle name="20% - Accent2 2 2 2 3 3" xfId="5343" xr:uid="{00000000-0005-0000-0000-0000AC000000}"/>
    <cellStyle name="20% - Accent2 2 2 2 3 3 2" xfId="13785" xr:uid="{E4DC8D6A-D4BD-4212-8B6F-EDB938FA7A7B}"/>
    <cellStyle name="20% - Accent2 2 2 2 3 4" xfId="9567" xr:uid="{F3279CAA-47FB-4C4A-A0FE-75726AA0244A}"/>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3EDA5CA5-F311-4EFE-9291-E9984E8BBE7A}"/>
    <cellStyle name="20% - Accent2 2 2 2 4 2 3" xfId="12125" xr:uid="{9D8B7626-75C1-4B95-8ED1-B7F08BEE77A9}"/>
    <cellStyle name="20% - Accent2 2 2 2 4 3" xfId="5756" xr:uid="{00000000-0005-0000-0000-0000B0000000}"/>
    <cellStyle name="20% - Accent2 2 2 2 4 3 2" xfId="14198" xr:uid="{95192007-1EF6-4528-A030-127EBFFE0703}"/>
    <cellStyle name="20% - Accent2 2 2 2 4 4" xfId="9980" xr:uid="{8914D228-03E4-4CC9-8830-078ABD3F13BB}"/>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A187010E-7167-4525-A4CB-B5573DF18B0B}"/>
    <cellStyle name="20% - Accent2 2 2 2 5 2 3" xfId="12538" xr:uid="{EA7E9860-CEA9-4BC3-9965-25452E550ECA}"/>
    <cellStyle name="20% - Accent2 2 2 2 5 3" xfId="6169" xr:uid="{00000000-0005-0000-0000-0000B4000000}"/>
    <cellStyle name="20% - Accent2 2 2 2 5 3 2" xfId="14611" xr:uid="{BD5ED459-DA35-4BFB-9BF7-BA400B1D82E9}"/>
    <cellStyle name="20% - Accent2 2 2 2 5 4" xfId="10393" xr:uid="{758332F1-D1E9-454A-B8F2-30BEAE4BF5DD}"/>
    <cellStyle name="20% - Accent2 2 2 2 6" xfId="2275" xr:uid="{00000000-0005-0000-0000-0000B5000000}"/>
    <cellStyle name="20% - Accent2 2 2 2 6 2" xfId="6582" xr:uid="{00000000-0005-0000-0000-0000B6000000}"/>
    <cellStyle name="20% - Accent2 2 2 2 6 2 2" xfId="15024" xr:uid="{F9A7965A-0932-4E08-A55F-9DF62D6C4312}"/>
    <cellStyle name="20% - Accent2 2 2 2 6 3" xfId="10806" xr:uid="{6304A580-7EB5-46EF-A15E-C10A11340C49}"/>
    <cellStyle name="20% - Accent2 2 2 2 7" xfId="4516" xr:uid="{00000000-0005-0000-0000-0000B7000000}"/>
    <cellStyle name="20% - Accent2 2 2 2 7 2" xfId="12958" xr:uid="{468FFC3E-FC7B-426F-9C51-05B15A446BEC}"/>
    <cellStyle name="20% - Accent2 2 2 2 8" xfId="8740" xr:uid="{BE3C85A0-0DAA-49B5-BA47-003D870A207C}"/>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AE5E56CF-F5B8-460F-9A6A-41DFCB0F75C1}"/>
    <cellStyle name="20% - Accent2 2 2 3 2 3" xfId="11298" xr:uid="{49EF5B0F-56A7-427D-BDC1-322DFC153300}"/>
    <cellStyle name="20% - Accent2 2 2 3 3" xfId="4929" xr:uid="{00000000-0005-0000-0000-0000BB000000}"/>
    <cellStyle name="20% - Accent2 2 2 3 3 2" xfId="13371" xr:uid="{92DD1DE4-5E22-47F4-ADD3-C306A611DD1B}"/>
    <cellStyle name="20% - Accent2 2 2 3 4" xfId="9153" xr:uid="{DCF53027-09FD-4B34-9096-8DE33C604090}"/>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6AC1113E-17DC-4583-889E-7702B29A85D5}"/>
    <cellStyle name="20% - Accent2 2 2 4 2 3" xfId="11711" xr:uid="{BE52880D-2AF4-458D-8165-506FDA85D912}"/>
    <cellStyle name="20% - Accent2 2 2 4 3" xfId="5342" xr:uid="{00000000-0005-0000-0000-0000BF000000}"/>
    <cellStyle name="20% - Accent2 2 2 4 3 2" xfId="13784" xr:uid="{8236DDE9-6FD7-4C32-B247-C3A831F58994}"/>
    <cellStyle name="20% - Accent2 2 2 4 4" xfId="9566" xr:uid="{CB46697A-65AA-4D70-9296-16ED88EB26E4}"/>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6E082752-F07B-4B28-9048-144A4253562B}"/>
    <cellStyle name="20% - Accent2 2 2 5 2 3" xfId="12124" xr:uid="{A8FA5336-A305-4C4D-82C2-893F04034C2E}"/>
    <cellStyle name="20% - Accent2 2 2 5 3" xfId="5755" xr:uid="{00000000-0005-0000-0000-0000C3000000}"/>
    <cellStyle name="20% - Accent2 2 2 5 3 2" xfId="14197" xr:uid="{17B4D727-9E74-42C4-A479-B3A6D648F475}"/>
    <cellStyle name="20% - Accent2 2 2 5 4" xfId="9979" xr:uid="{B2DFEA61-5706-4A51-AEB8-37EF6AADD73F}"/>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F89D953B-00D4-4EA8-95EA-7E4622112A3E}"/>
    <cellStyle name="20% - Accent2 2 2 6 2 3" xfId="12537" xr:uid="{FC0FA9B9-58DD-4D18-AFB5-3BBC2C1D2BF7}"/>
    <cellStyle name="20% - Accent2 2 2 6 3" xfId="6168" xr:uid="{00000000-0005-0000-0000-0000C7000000}"/>
    <cellStyle name="20% - Accent2 2 2 6 3 2" xfId="14610" xr:uid="{B2182972-F305-4071-8FF2-5E8A0F674982}"/>
    <cellStyle name="20% - Accent2 2 2 6 4" xfId="10392" xr:uid="{8EE4C96F-E6CA-4401-9B17-DCFDAA881EC6}"/>
    <cellStyle name="20% - Accent2 2 2 7" xfId="2274" xr:uid="{00000000-0005-0000-0000-0000C8000000}"/>
    <cellStyle name="20% - Accent2 2 2 7 2" xfId="6581" xr:uid="{00000000-0005-0000-0000-0000C9000000}"/>
    <cellStyle name="20% - Accent2 2 2 7 2 2" xfId="15023" xr:uid="{6457F63C-328F-4052-AC21-09D8D5BA1E4B}"/>
    <cellStyle name="20% - Accent2 2 2 7 3" xfId="10805" xr:uid="{0F83F41F-8B7C-44B7-A1AF-4D3A441C0ED2}"/>
    <cellStyle name="20% - Accent2 2 2 8" xfId="4515" xr:uid="{00000000-0005-0000-0000-0000CA000000}"/>
    <cellStyle name="20% - Accent2 2 2 8 2" xfId="12957" xr:uid="{0F8753B7-CE8F-46D2-B5E9-F2B75050F425}"/>
    <cellStyle name="20% - Accent2 2 2 9" xfId="8739" xr:uid="{17B49828-E5A7-4F82-BD0B-22A96B785EAC}"/>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0F8990C4-F4AF-49A3-ABE0-10552EB4810F}"/>
    <cellStyle name="20% - Accent2 2 3 2 2 3" xfId="11300" xr:uid="{D10096C7-3A80-4DC0-86A2-CA21700D57CA}"/>
    <cellStyle name="20% - Accent2 2 3 2 3" xfId="4931" xr:uid="{00000000-0005-0000-0000-0000CF000000}"/>
    <cellStyle name="20% - Accent2 2 3 2 3 2" xfId="13373" xr:uid="{0B7A9A9D-7D69-4191-98A1-BB5BBBDC8B4F}"/>
    <cellStyle name="20% - Accent2 2 3 2 4" xfId="9155" xr:uid="{30A95346-0FFF-4D6B-8635-D5660FC4287B}"/>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6C0C2C83-4A5D-41D2-91C5-34D6CA03B14F}"/>
    <cellStyle name="20% - Accent2 2 3 3 2 3" xfId="11713" xr:uid="{1E3E7DD1-EFB6-49E4-ACDB-B674EC019E5C}"/>
    <cellStyle name="20% - Accent2 2 3 3 3" xfId="5344" xr:uid="{00000000-0005-0000-0000-0000D3000000}"/>
    <cellStyle name="20% - Accent2 2 3 3 3 2" xfId="13786" xr:uid="{8C47768D-0270-4168-A9AA-BB428A9494BC}"/>
    <cellStyle name="20% - Accent2 2 3 3 4" xfId="9568" xr:uid="{9B2E7983-73FF-4799-B465-D3C7545F281F}"/>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EA0B7AE9-C4C2-4FB1-BF6F-D989AEEED7D7}"/>
    <cellStyle name="20% - Accent2 2 3 4 2 3" xfId="12126" xr:uid="{895C94C2-FA86-4151-B038-3D5505B61928}"/>
    <cellStyle name="20% - Accent2 2 3 4 3" xfId="5757" xr:uid="{00000000-0005-0000-0000-0000D7000000}"/>
    <cellStyle name="20% - Accent2 2 3 4 3 2" xfId="14199" xr:uid="{D573BACF-C579-41B6-8AA9-737E86901936}"/>
    <cellStyle name="20% - Accent2 2 3 4 4" xfId="9981" xr:uid="{2EBB185F-49A7-48AB-A71F-628F168D4862}"/>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21E76083-F3BA-4556-A2EE-47581A763CA0}"/>
    <cellStyle name="20% - Accent2 2 3 5 2 3" xfId="12539" xr:uid="{2C40971E-5D39-4D3A-817D-6C826ED271B5}"/>
    <cellStyle name="20% - Accent2 2 3 5 3" xfId="6170" xr:uid="{00000000-0005-0000-0000-0000DB000000}"/>
    <cellStyle name="20% - Accent2 2 3 5 3 2" xfId="14612" xr:uid="{56336C1C-AEB4-460A-A21D-0C46A1C96CB1}"/>
    <cellStyle name="20% - Accent2 2 3 5 4" xfId="10394" xr:uid="{9485E2A8-F5DA-48F3-B45A-4CDE6CDD5271}"/>
    <cellStyle name="20% - Accent2 2 3 6" xfId="2276" xr:uid="{00000000-0005-0000-0000-0000DC000000}"/>
    <cellStyle name="20% - Accent2 2 3 6 2" xfId="6583" xr:uid="{00000000-0005-0000-0000-0000DD000000}"/>
    <cellStyle name="20% - Accent2 2 3 6 2 2" xfId="15025" xr:uid="{B2113E1D-82D8-4D76-9E1A-78B62DBCFC8C}"/>
    <cellStyle name="20% - Accent2 2 3 6 3" xfId="10807" xr:uid="{A403E158-25AD-4FB8-8A24-578658E486AB}"/>
    <cellStyle name="20% - Accent2 2 3 7" xfId="4517" xr:uid="{00000000-0005-0000-0000-0000DE000000}"/>
    <cellStyle name="20% - Accent2 2 3 7 2" xfId="12959" xr:uid="{1377A47B-5C85-469D-939B-4B89B14E89B8}"/>
    <cellStyle name="20% - Accent2 2 3 8" xfId="8741" xr:uid="{173363FA-28E8-4702-8C65-828B5B7DDA0D}"/>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79D5846A-FECE-4AB2-9BC3-C8E7B1641557}"/>
    <cellStyle name="20% - Accent2 2 4 2 3" xfId="11297" xr:uid="{5EB74832-92A0-4DF8-AE4B-F388AA9817B3}"/>
    <cellStyle name="20% - Accent2 2 4 3" xfId="4928" xr:uid="{00000000-0005-0000-0000-0000E2000000}"/>
    <cellStyle name="20% - Accent2 2 4 3 2" xfId="13370" xr:uid="{5B0763DE-BA2C-4E84-9E85-C3749ED0B394}"/>
    <cellStyle name="20% - Accent2 2 4 4" xfId="9152" xr:uid="{3ED29A93-502D-4F74-8D97-756FB6CD9F58}"/>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7FDB81BE-1220-4693-9FC5-88C440CFAED9}"/>
    <cellStyle name="20% - Accent2 2 5 2 3" xfId="11710" xr:uid="{92D505F8-2ED9-4611-8C09-AF4F76687DF9}"/>
    <cellStyle name="20% - Accent2 2 5 3" xfId="5341" xr:uid="{00000000-0005-0000-0000-0000E6000000}"/>
    <cellStyle name="20% - Accent2 2 5 3 2" xfId="13783" xr:uid="{134A4692-4787-4180-9A47-2A7953BE8915}"/>
    <cellStyle name="20% - Accent2 2 5 4" xfId="9565" xr:uid="{C20C85C3-0F47-480D-B868-742E5A073E14}"/>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17796CB2-774F-42CB-9012-687906E0867F}"/>
    <cellStyle name="20% - Accent2 2 6 2 3" xfId="12123" xr:uid="{36500502-3E48-4423-BB63-68B10C1E1BEF}"/>
    <cellStyle name="20% - Accent2 2 6 3" xfId="5754" xr:uid="{00000000-0005-0000-0000-0000EA000000}"/>
    <cellStyle name="20% - Accent2 2 6 3 2" xfId="14196" xr:uid="{96718A58-143D-4EB2-822D-C957FDCD396E}"/>
    <cellStyle name="20% - Accent2 2 6 4" xfId="9978" xr:uid="{AF92DC99-2911-485B-9C9E-360DC989D250}"/>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B128BC39-7141-473F-BE46-628CEB363477}"/>
    <cellStyle name="20% - Accent2 2 7 2 3" xfId="12536" xr:uid="{FDB93D8D-A6B9-4311-9D1F-9094281ECD28}"/>
    <cellStyle name="20% - Accent2 2 7 3" xfId="6167" xr:uid="{00000000-0005-0000-0000-0000EE000000}"/>
    <cellStyle name="20% - Accent2 2 7 3 2" xfId="14609" xr:uid="{227C51FF-00DA-413B-8B5D-B46E38F2DDA2}"/>
    <cellStyle name="20% - Accent2 2 7 4" xfId="10391" xr:uid="{B0869FEC-4874-4CE1-9961-D962A5250D16}"/>
    <cellStyle name="20% - Accent2 2 8" xfId="2273" xr:uid="{00000000-0005-0000-0000-0000EF000000}"/>
    <cellStyle name="20% - Accent2 2 8 2" xfId="6580" xr:uid="{00000000-0005-0000-0000-0000F0000000}"/>
    <cellStyle name="20% - Accent2 2 8 2 2" xfId="15022" xr:uid="{BA872251-1ED7-4726-B459-4929AF3FCD63}"/>
    <cellStyle name="20% - Accent2 2 8 3" xfId="10804" xr:uid="{7F33E614-76F7-4DFE-A1F5-88145B61D236}"/>
    <cellStyle name="20% - Accent2 2 9" xfId="4514" xr:uid="{00000000-0005-0000-0000-0000F1000000}"/>
    <cellStyle name="20% - Accent2 2 9 2" xfId="12956" xr:uid="{52891D01-B176-4490-B71E-AD89FB1C0D9C}"/>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F70593B0-F51F-47CB-B9E0-4BB2B0C96FA3}"/>
    <cellStyle name="20% - Accent2 3 2 2 2 3" xfId="11302" xr:uid="{AA8A83C5-C322-44AE-9860-303725BA5877}"/>
    <cellStyle name="20% - Accent2 3 2 2 3" xfId="4933" xr:uid="{00000000-0005-0000-0000-0000F7000000}"/>
    <cellStyle name="20% - Accent2 3 2 2 3 2" xfId="13375" xr:uid="{01407629-597D-47BB-8183-702FE2513211}"/>
    <cellStyle name="20% - Accent2 3 2 2 4" xfId="9157" xr:uid="{7B9D2D41-C5A4-4361-AC58-CAE4BAE30C08}"/>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FF761A0D-C290-46FA-B65D-57A1CECF3149}"/>
    <cellStyle name="20% - Accent2 3 2 3 2 3" xfId="11715" xr:uid="{9580E45E-C4A4-4463-BB3C-711A0BD8D889}"/>
    <cellStyle name="20% - Accent2 3 2 3 3" xfId="5346" xr:uid="{00000000-0005-0000-0000-0000FB000000}"/>
    <cellStyle name="20% - Accent2 3 2 3 3 2" xfId="13788" xr:uid="{2E7F90FC-DDFD-4063-89D3-B7EB9DEC133A}"/>
    <cellStyle name="20% - Accent2 3 2 3 4" xfId="9570" xr:uid="{46FC37A0-F322-4F6B-8BD5-4CB64E375CE4}"/>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B79A6441-FAA9-48DB-8EC1-4F824ADE589A}"/>
    <cellStyle name="20% - Accent2 3 2 4 2 3" xfId="12128" xr:uid="{170219FA-7CD0-4C99-8CEE-639547306226}"/>
    <cellStyle name="20% - Accent2 3 2 4 3" xfId="5759" xr:uid="{00000000-0005-0000-0000-0000FF000000}"/>
    <cellStyle name="20% - Accent2 3 2 4 3 2" xfId="14201" xr:uid="{7164B570-0F96-4080-A397-1E59E0EE3879}"/>
    <cellStyle name="20% - Accent2 3 2 4 4" xfId="9983" xr:uid="{768946C6-E24B-49B0-AFB7-0725F12EA557}"/>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CE7F0718-A093-42EC-BA1F-A1AA09572EC8}"/>
    <cellStyle name="20% - Accent2 3 2 5 2 3" xfId="12541" xr:uid="{1302E3C9-9FB4-4EE1-938D-EBDF31259AF4}"/>
    <cellStyle name="20% - Accent2 3 2 5 3" xfId="6172" xr:uid="{00000000-0005-0000-0000-000003010000}"/>
    <cellStyle name="20% - Accent2 3 2 5 3 2" xfId="14614" xr:uid="{B1FAEEF6-2FD0-4C2B-BBEC-30A0B704C916}"/>
    <cellStyle name="20% - Accent2 3 2 5 4" xfId="10396" xr:uid="{7DF069BB-B72D-4DB8-B211-CDBAC72DE0FE}"/>
    <cellStyle name="20% - Accent2 3 2 6" xfId="2278" xr:uid="{00000000-0005-0000-0000-000004010000}"/>
    <cellStyle name="20% - Accent2 3 2 6 2" xfId="6585" xr:uid="{00000000-0005-0000-0000-000005010000}"/>
    <cellStyle name="20% - Accent2 3 2 6 2 2" xfId="15027" xr:uid="{BD510154-2C69-4E4C-BBC4-E734F7D44E9E}"/>
    <cellStyle name="20% - Accent2 3 2 6 3" xfId="10809" xr:uid="{321EDDE2-7745-42AA-981E-4CA77F6518A3}"/>
    <cellStyle name="20% - Accent2 3 2 7" xfId="4519" xr:uid="{00000000-0005-0000-0000-000006010000}"/>
    <cellStyle name="20% - Accent2 3 2 7 2" xfId="12961" xr:uid="{BCA0B835-745F-4DC1-8128-72471F37AC9E}"/>
    <cellStyle name="20% - Accent2 3 2 8" xfId="8743" xr:uid="{4E484D0E-506F-43E4-82DD-E0E5F7C2C07D}"/>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5C26252E-53A1-4B08-9D02-7C2001D1E38D}"/>
    <cellStyle name="20% - Accent2 3 3 2 3" xfId="11301" xr:uid="{725BE04E-F47A-44E5-B2A9-BB6640A4A14D}"/>
    <cellStyle name="20% - Accent2 3 3 3" xfId="4932" xr:uid="{00000000-0005-0000-0000-00000A010000}"/>
    <cellStyle name="20% - Accent2 3 3 3 2" xfId="13374" xr:uid="{B1A57E11-1C3D-40D5-BC9D-E626AFFFCE8F}"/>
    <cellStyle name="20% - Accent2 3 3 4" xfId="9156" xr:uid="{8D1D21DD-9042-4E34-BEF8-A8D532A5F47B}"/>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FFB61C21-9DEB-487A-9F12-B261C10F9B25}"/>
    <cellStyle name="20% - Accent2 3 4 2 3" xfId="11714" xr:uid="{6FCAE73D-67B3-45EA-ABA5-7D8CA9722333}"/>
    <cellStyle name="20% - Accent2 3 4 3" xfId="5345" xr:uid="{00000000-0005-0000-0000-00000E010000}"/>
    <cellStyle name="20% - Accent2 3 4 3 2" xfId="13787" xr:uid="{389C37FE-2B2A-416C-B70A-876D5952D730}"/>
    <cellStyle name="20% - Accent2 3 4 4" xfId="9569" xr:uid="{A1B77F10-B0D1-4013-8914-87EEC9E2D6EC}"/>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6125EBB1-9827-40F1-BF03-5E75DA825F55}"/>
    <cellStyle name="20% - Accent2 3 5 2 3" xfId="12127" xr:uid="{A2CDF227-8CC0-4C69-A938-DE45A081EC9C}"/>
    <cellStyle name="20% - Accent2 3 5 3" xfId="5758" xr:uid="{00000000-0005-0000-0000-000012010000}"/>
    <cellStyle name="20% - Accent2 3 5 3 2" xfId="14200" xr:uid="{905F300F-CEF8-4B90-94F5-D8430EC2E829}"/>
    <cellStyle name="20% - Accent2 3 5 4" xfId="9982" xr:uid="{3F145C95-2013-4DEA-9FA3-33A09D82BC09}"/>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BC1DF7A2-7A8C-4357-89DF-EF8092DBC30D}"/>
    <cellStyle name="20% - Accent2 3 6 2 3" xfId="12540" xr:uid="{0BA56A05-53C5-453D-8F74-4C95793CD46B}"/>
    <cellStyle name="20% - Accent2 3 6 3" xfId="6171" xr:uid="{00000000-0005-0000-0000-000016010000}"/>
    <cellStyle name="20% - Accent2 3 6 3 2" xfId="14613" xr:uid="{FEC03E7A-20CE-4357-B6FC-EAEBD09D919F}"/>
    <cellStyle name="20% - Accent2 3 6 4" xfId="10395" xr:uid="{B52F18CB-202B-4FEB-8DDF-0FCAB2A3A782}"/>
    <cellStyle name="20% - Accent2 3 7" xfId="2277" xr:uid="{00000000-0005-0000-0000-000017010000}"/>
    <cellStyle name="20% - Accent2 3 7 2" xfId="6584" xr:uid="{00000000-0005-0000-0000-000018010000}"/>
    <cellStyle name="20% - Accent2 3 7 2 2" xfId="15026" xr:uid="{12385A54-F23F-462F-AA0E-793803D2DD0A}"/>
    <cellStyle name="20% - Accent2 3 7 3" xfId="10808" xr:uid="{35CA3787-5414-4223-9536-E98137C6B874}"/>
    <cellStyle name="20% - Accent2 3 8" xfId="4518" xr:uid="{00000000-0005-0000-0000-000019010000}"/>
    <cellStyle name="20% - Accent2 3 8 2" xfId="12960" xr:uid="{9AB6A1FA-2AE9-44A5-A1EB-88A137389337}"/>
    <cellStyle name="20% - Accent2 3 9" xfId="8742" xr:uid="{A60B2002-EF68-4556-989C-6C56F7708835}"/>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1051E050-97DB-4B52-B43C-3783158468C6}"/>
    <cellStyle name="20% - Accent2 4 2 2 3" xfId="11303" xr:uid="{2AEB760F-683F-4E64-AC79-5497E2D123D4}"/>
    <cellStyle name="20% - Accent2 4 2 3" xfId="4934" xr:uid="{00000000-0005-0000-0000-00001E010000}"/>
    <cellStyle name="20% - Accent2 4 2 3 2" xfId="13376" xr:uid="{FED423D6-3103-4213-A091-51686579EF18}"/>
    <cellStyle name="20% - Accent2 4 2 4" xfId="9158" xr:uid="{F27ADE99-8367-4BE5-BE58-4D0BB8F1E22B}"/>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49A9566D-FF24-4401-AA66-CBDD769E62F3}"/>
    <cellStyle name="20% - Accent2 4 3 2 3" xfId="11716" xr:uid="{AC82A127-6757-428C-82C4-8DE6DCB8F0D5}"/>
    <cellStyle name="20% - Accent2 4 3 3" xfId="5347" xr:uid="{00000000-0005-0000-0000-000022010000}"/>
    <cellStyle name="20% - Accent2 4 3 3 2" xfId="13789" xr:uid="{E1A3FA7B-70CF-4E04-98A4-F70B1246B225}"/>
    <cellStyle name="20% - Accent2 4 3 4" xfId="9571" xr:uid="{A74F0208-276B-4FF3-8B5B-07AB647A59FD}"/>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7501388A-BE94-441E-A0F0-218FCEE0E378}"/>
    <cellStyle name="20% - Accent2 4 4 2 3" xfId="12129" xr:uid="{70E7FBC8-ADAB-42F6-AFE3-9EFA9E6E5934}"/>
    <cellStyle name="20% - Accent2 4 4 3" xfId="5760" xr:uid="{00000000-0005-0000-0000-000026010000}"/>
    <cellStyle name="20% - Accent2 4 4 3 2" xfId="14202" xr:uid="{65D97611-39D5-43CE-ABDC-97110CF6671A}"/>
    <cellStyle name="20% - Accent2 4 4 4" xfId="9984" xr:uid="{D8548970-92C3-46D3-B14C-7F4C2CDF672F}"/>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64CA511D-C57A-4C2A-A9D3-8F5852EBF88B}"/>
    <cellStyle name="20% - Accent2 4 5 2 3" xfId="12542" xr:uid="{EB6B8BEC-DF00-42E0-B7DE-F13ECB5B4F25}"/>
    <cellStyle name="20% - Accent2 4 5 3" xfId="6173" xr:uid="{00000000-0005-0000-0000-00002A010000}"/>
    <cellStyle name="20% - Accent2 4 5 3 2" xfId="14615" xr:uid="{8DECF808-5B00-4F80-86B4-FE31ECB52173}"/>
    <cellStyle name="20% - Accent2 4 5 4" xfId="10397" xr:uid="{FB381A1E-26D7-45EB-AE85-D0D089622531}"/>
    <cellStyle name="20% - Accent2 4 6" xfId="2279" xr:uid="{00000000-0005-0000-0000-00002B010000}"/>
    <cellStyle name="20% - Accent2 4 6 2" xfId="6586" xr:uid="{00000000-0005-0000-0000-00002C010000}"/>
    <cellStyle name="20% - Accent2 4 6 2 2" xfId="15028" xr:uid="{BBA38650-AB9A-46A1-AD9F-EBED19068042}"/>
    <cellStyle name="20% - Accent2 4 6 3" xfId="10810" xr:uid="{5B29ECD2-F24C-48FB-899E-FB9EDEC3F5F8}"/>
    <cellStyle name="20% - Accent2 4 7" xfId="4520" xr:uid="{00000000-0005-0000-0000-00002D010000}"/>
    <cellStyle name="20% - Accent2 4 7 2" xfId="12962" xr:uid="{B9607B7A-5B50-421F-A909-D938D5BDB27D}"/>
    <cellStyle name="20% - Accent2 4 8" xfId="8744" xr:uid="{609D0029-178C-4E10-BD99-B75F7AD48720}"/>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761A1FC0-1556-48FA-B9EA-982B00027503}"/>
    <cellStyle name="20% - Accent2 5 2 3" xfId="11296" xr:uid="{D0FC2DB8-A1B2-409D-86AC-EBF2ADC175EF}"/>
    <cellStyle name="20% - Accent2 5 3" xfId="4927" xr:uid="{00000000-0005-0000-0000-000031010000}"/>
    <cellStyle name="20% - Accent2 5 3 2" xfId="13369" xr:uid="{A5B2CDE1-DC61-4A1C-8712-4B476230BC03}"/>
    <cellStyle name="20% - Accent2 5 4" xfId="9151" xr:uid="{C390A19D-9BF0-49C9-9D1B-1941F41281BF}"/>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450C932D-0D41-4477-A705-916EC550D61E}"/>
    <cellStyle name="20% - Accent2 6 2 3" xfId="11709" xr:uid="{C048D858-418A-4D24-99EC-12DA454C5255}"/>
    <cellStyle name="20% - Accent2 6 3" xfId="5340" xr:uid="{00000000-0005-0000-0000-000035010000}"/>
    <cellStyle name="20% - Accent2 6 3 2" xfId="13782" xr:uid="{F7FA2E2B-86B4-4224-AB77-7467879F4156}"/>
    <cellStyle name="20% - Accent2 6 4" xfId="9564" xr:uid="{47494BF5-4F8C-49B1-8701-7BD9B0EFEBF5}"/>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328CB5CB-D6A1-4EB0-9F72-0DFA30CDB9EF}"/>
    <cellStyle name="20% - Accent2 7 2 3" xfId="12122" xr:uid="{DB4A0085-15B4-40E2-AB68-87DD25F6F428}"/>
    <cellStyle name="20% - Accent2 7 3" xfId="5753" xr:uid="{00000000-0005-0000-0000-000039010000}"/>
    <cellStyle name="20% - Accent2 7 3 2" xfId="14195" xr:uid="{8B399B43-2CC0-4B41-AA69-499AF9077E2D}"/>
    <cellStyle name="20% - Accent2 7 4" xfId="9977" xr:uid="{7FC1C658-B7B4-41E1-8111-1267E8E5F0E2}"/>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14997252-0FEB-4D4E-9016-A77408DB00DD}"/>
    <cellStyle name="20% - Accent2 8 2 3" xfId="12535" xr:uid="{6D6156A6-56C2-4A1D-9BD9-998E938F3363}"/>
    <cellStyle name="20% - Accent2 8 3" xfId="6166" xr:uid="{00000000-0005-0000-0000-00003D010000}"/>
    <cellStyle name="20% - Accent2 8 3 2" xfId="14608" xr:uid="{42969FF7-ECDA-4B26-AF44-A2E385C17149}"/>
    <cellStyle name="20% - Accent2 8 4" xfId="10390" xr:uid="{795392E2-1B55-49C8-996F-6C4CC22BC1F0}"/>
    <cellStyle name="20% - Accent2 9" xfId="2272" xr:uid="{00000000-0005-0000-0000-00003E010000}"/>
    <cellStyle name="20% - Accent2 9 2" xfId="6579" xr:uid="{00000000-0005-0000-0000-00003F010000}"/>
    <cellStyle name="20% - Accent2 9 2 2" xfId="15021" xr:uid="{60AC6AAC-05E8-4BF3-AB45-2A53BED1B582}"/>
    <cellStyle name="20% - Accent2 9 3" xfId="10803" xr:uid="{E58D0946-6832-420D-ABEA-0EB9A9CFB3F8}"/>
    <cellStyle name="20% - Accent3" xfId="17" builtinId="38" customBuiltin="1"/>
    <cellStyle name="20% - Accent3 10" xfId="4521" xr:uid="{00000000-0005-0000-0000-000041010000}"/>
    <cellStyle name="20% - Accent3 10 2" xfId="12963" xr:uid="{3F671DAE-E9B2-4340-8C05-A0B834521A3A}"/>
    <cellStyle name="20% - Accent3 11" xfId="8745" xr:uid="{EEBF1282-9E19-45E0-B022-5562BBF15B8B}"/>
    <cellStyle name="20% - Accent3 2" xfId="18" xr:uid="{00000000-0005-0000-0000-000042010000}"/>
    <cellStyle name="20% - Accent3 2 10" xfId="8746" xr:uid="{8531771A-1203-498D-A2E3-8E1AB52812A4}"/>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EB887802-78E2-4C9E-8078-AF9C472503B5}"/>
    <cellStyle name="20% - Accent3 2 2 2 2 2 3" xfId="11307" xr:uid="{B49CA920-E83D-4A3A-A4D3-5F29597E5D3F}"/>
    <cellStyle name="20% - Accent3 2 2 2 2 3" xfId="4938" xr:uid="{00000000-0005-0000-0000-000048010000}"/>
    <cellStyle name="20% - Accent3 2 2 2 2 3 2" xfId="13380" xr:uid="{93FAD167-D1E2-4B36-BB0D-DA07F2C5392D}"/>
    <cellStyle name="20% - Accent3 2 2 2 2 4" xfId="9162" xr:uid="{3FA8FB6E-B9A4-48FA-9EE7-F0AF8434C5B1}"/>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E5C8322E-560E-4CF2-AF79-1276F5401B31}"/>
    <cellStyle name="20% - Accent3 2 2 2 3 2 3" xfId="11720" xr:uid="{A47F6577-D558-4F82-891F-14CD07DE1609}"/>
    <cellStyle name="20% - Accent3 2 2 2 3 3" xfId="5351" xr:uid="{00000000-0005-0000-0000-00004C010000}"/>
    <cellStyle name="20% - Accent3 2 2 2 3 3 2" xfId="13793" xr:uid="{41005050-5822-44DF-8E9A-E323CCD27B13}"/>
    <cellStyle name="20% - Accent3 2 2 2 3 4" xfId="9575" xr:uid="{BDF83A2A-673D-4A0E-BA32-070AA79E24B1}"/>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C6076442-AEED-4A98-BF5C-37410646334E}"/>
    <cellStyle name="20% - Accent3 2 2 2 4 2 3" xfId="12133" xr:uid="{60D6B7FF-6C14-444C-A97B-432087C9FAA5}"/>
    <cellStyle name="20% - Accent3 2 2 2 4 3" xfId="5764" xr:uid="{00000000-0005-0000-0000-000050010000}"/>
    <cellStyle name="20% - Accent3 2 2 2 4 3 2" xfId="14206" xr:uid="{8CC07EEA-C877-4302-A6AC-9B837DB7D32B}"/>
    <cellStyle name="20% - Accent3 2 2 2 4 4" xfId="9988" xr:uid="{1871E182-9D48-4677-8E18-3A5337CAEBD4}"/>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F14EEE63-0601-4D86-B243-F3D23F4701DA}"/>
    <cellStyle name="20% - Accent3 2 2 2 5 2 3" xfId="12546" xr:uid="{CA657C2A-C027-498E-874A-05B6028E53D6}"/>
    <cellStyle name="20% - Accent3 2 2 2 5 3" xfId="6177" xr:uid="{00000000-0005-0000-0000-000054010000}"/>
    <cellStyle name="20% - Accent3 2 2 2 5 3 2" xfId="14619" xr:uid="{8668522F-CE94-4344-BF8A-D33920570062}"/>
    <cellStyle name="20% - Accent3 2 2 2 5 4" xfId="10401" xr:uid="{D6BD473C-A7B1-42AA-8056-A9AC165051C5}"/>
    <cellStyle name="20% - Accent3 2 2 2 6" xfId="2283" xr:uid="{00000000-0005-0000-0000-000055010000}"/>
    <cellStyle name="20% - Accent3 2 2 2 6 2" xfId="6590" xr:uid="{00000000-0005-0000-0000-000056010000}"/>
    <cellStyle name="20% - Accent3 2 2 2 6 2 2" xfId="15032" xr:uid="{BA92DDB1-2A20-4CC0-B4A6-BF69E85C40BE}"/>
    <cellStyle name="20% - Accent3 2 2 2 6 3" xfId="10814" xr:uid="{EE97C964-72AE-4438-9B3C-AB1B3195BADB}"/>
    <cellStyle name="20% - Accent3 2 2 2 7" xfId="4524" xr:uid="{00000000-0005-0000-0000-000057010000}"/>
    <cellStyle name="20% - Accent3 2 2 2 7 2" xfId="12966" xr:uid="{6C3E3D89-3761-471D-870F-03175B5BC00D}"/>
    <cellStyle name="20% - Accent3 2 2 2 8" xfId="8748" xr:uid="{09B6C4FB-ADD1-4C97-B737-BD481ED032CE}"/>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3D3AE03A-3767-47F5-92FE-B2475BB6D623}"/>
    <cellStyle name="20% - Accent3 2 2 3 2 3" xfId="11306" xr:uid="{B44BDADE-7920-4F64-A9B0-61D1D60E59CD}"/>
    <cellStyle name="20% - Accent3 2 2 3 3" xfId="4937" xr:uid="{00000000-0005-0000-0000-00005B010000}"/>
    <cellStyle name="20% - Accent3 2 2 3 3 2" xfId="13379" xr:uid="{5B679335-0B49-46B2-8334-6AE1FEA648EB}"/>
    <cellStyle name="20% - Accent3 2 2 3 4" xfId="9161" xr:uid="{4001ABC8-2E4A-4E24-98A1-7FD5D5F92EE5}"/>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69958C70-0E3B-4434-8900-CD46FEAC287C}"/>
    <cellStyle name="20% - Accent3 2 2 4 2 3" xfId="11719" xr:uid="{CA34E4BE-D111-4322-9978-3453560CAAEC}"/>
    <cellStyle name="20% - Accent3 2 2 4 3" xfId="5350" xr:uid="{00000000-0005-0000-0000-00005F010000}"/>
    <cellStyle name="20% - Accent3 2 2 4 3 2" xfId="13792" xr:uid="{4713E229-FB14-4B11-AB3A-0BB49897C6D9}"/>
    <cellStyle name="20% - Accent3 2 2 4 4" xfId="9574" xr:uid="{A93E9851-B018-48FC-92FF-7A297499E9CF}"/>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79EE9730-0BF0-40D4-9796-D60A39601E0B}"/>
    <cellStyle name="20% - Accent3 2 2 5 2 3" xfId="12132" xr:uid="{9AE7F46D-E9ED-4518-A21D-22DFCA109CF3}"/>
    <cellStyle name="20% - Accent3 2 2 5 3" xfId="5763" xr:uid="{00000000-0005-0000-0000-000063010000}"/>
    <cellStyle name="20% - Accent3 2 2 5 3 2" xfId="14205" xr:uid="{F0BD2E7F-7187-4AF1-BC9B-BAF13F29A30F}"/>
    <cellStyle name="20% - Accent3 2 2 5 4" xfId="9987" xr:uid="{71D072D3-4BE8-43DC-8922-81522CB0CAB7}"/>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BAB44D03-0DC0-461B-8A70-9551DD2AC1A7}"/>
    <cellStyle name="20% - Accent3 2 2 6 2 3" xfId="12545" xr:uid="{9D2C2EC2-1364-49F2-8133-311CD2F3ECB2}"/>
    <cellStyle name="20% - Accent3 2 2 6 3" xfId="6176" xr:uid="{00000000-0005-0000-0000-000067010000}"/>
    <cellStyle name="20% - Accent3 2 2 6 3 2" xfId="14618" xr:uid="{192D3C46-D8D4-468E-894B-FC775BCD9394}"/>
    <cellStyle name="20% - Accent3 2 2 6 4" xfId="10400" xr:uid="{FB9AB971-5985-4F20-A095-44BA7DF3D310}"/>
    <cellStyle name="20% - Accent3 2 2 7" xfId="2282" xr:uid="{00000000-0005-0000-0000-000068010000}"/>
    <cellStyle name="20% - Accent3 2 2 7 2" xfId="6589" xr:uid="{00000000-0005-0000-0000-000069010000}"/>
    <cellStyle name="20% - Accent3 2 2 7 2 2" xfId="15031" xr:uid="{167A34F9-EFE2-4C61-B33D-36EFEC70754E}"/>
    <cellStyle name="20% - Accent3 2 2 7 3" xfId="10813" xr:uid="{9EA021E9-65BF-43A5-B86C-89955863A6D4}"/>
    <cellStyle name="20% - Accent3 2 2 8" xfId="4523" xr:uid="{00000000-0005-0000-0000-00006A010000}"/>
    <cellStyle name="20% - Accent3 2 2 8 2" xfId="12965" xr:uid="{4CBDFE82-9659-45AB-AE92-466E2ADF85B7}"/>
    <cellStyle name="20% - Accent3 2 2 9" xfId="8747" xr:uid="{F37E2F65-1F74-4DE9-B8A2-B622C9A403AF}"/>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16BD86E3-60D6-45B4-88C6-6CFD54024E28}"/>
    <cellStyle name="20% - Accent3 2 3 2 2 3" xfId="11308" xr:uid="{13CDA5A4-8B2A-4454-B211-7553C078E305}"/>
    <cellStyle name="20% - Accent3 2 3 2 3" xfId="4939" xr:uid="{00000000-0005-0000-0000-00006F010000}"/>
    <cellStyle name="20% - Accent3 2 3 2 3 2" xfId="13381" xr:uid="{9272078E-C2A9-409E-8292-C41E27D1CC06}"/>
    <cellStyle name="20% - Accent3 2 3 2 4" xfId="9163" xr:uid="{F02B2D97-AFF4-4126-B855-BD204720F840}"/>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7394CE1E-3A11-4475-A17E-F00E6B376B71}"/>
    <cellStyle name="20% - Accent3 2 3 3 2 3" xfId="11721" xr:uid="{DB6EDA94-8F77-4110-AFC9-7A59A0742B8B}"/>
    <cellStyle name="20% - Accent3 2 3 3 3" xfId="5352" xr:uid="{00000000-0005-0000-0000-000073010000}"/>
    <cellStyle name="20% - Accent3 2 3 3 3 2" xfId="13794" xr:uid="{464443D2-0366-4360-AE7D-8ACD7AA612F0}"/>
    <cellStyle name="20% - Accent3 2 3 3 4" xfId="9576" xr:uid="{C084918F-2BB6-46E3-8121-EDF48E3CF06C}"/>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79957A57-C40C-4491-802F-2317BF10238D}"/>
    <cellStyle name="20% - Accent3 2 3 4 2 3" xfId="12134" xr:uid="{EDDE7412-AB48-4FDE-A767-B04DA0224A4F}"/>
    <cellStyle name="20% - Accent3 2 3 4 3" xfId="5765" xr:uid="{00000000-0005-0000-0000-000077010000}"/>
    <cellStyle name="20% - Accent3 2 3 4 3 2" xfId="14207" xr:uid="{29A301BC-264C-42E6-9A22-B94A4A726790}"/>
    <cellStyle name="20% - Accent3 2 3 4 4" xfId="9989" xr:uid="{DAE18EEA-3E13-4F8D-BA39-233FF4BAF1BD}"/>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AF052C6A-894E-40D5-8C99-A6E987ACAD87}"/>
    <cellStyle name="20% - Accent3 2 3 5 2 3" xfId="12547" xr:uid="{FBA6A6C0-687D-4FA7-82F8-2C0BCAE7D7DC}"/>
    <cellStyle name="20% - Accent3 2 3 5 3" xfId="6178" xr:uid="{00000000-0005-0000-0000-00007B010000}"/>
    <cellStyle name="20% - Accent3 2 3 5 3 2" xfId="14620" xr:uid="{4CBCA3F5-EB7A-47BF-A4E6-3E2259A4FEB2}"/>
    <cellStyle name="20% - Accent3 2 3 5 4" xfId="10402" xr:uid="{4D42C58E-CD56-4B9C-A660-9DCC472D4B68}"/>
    <cellStyle name="20% - Accent3 2 3 6" xfId="2284" xr:uid="{00000000-0005-0000-0000-00007C010000}"/>
    <cellStyle name="20% - Accent3 2 3 6 2" xfId="6591" xr:uid="{00000000-0005-0000-0000-00007D010000}"/>
    <cellStyle name="20% - Accent3 2 3 6 2 2" xfId="15033" xr:uid="{B356C7FC-AE4E-4A8D-8677-9B9E5E29B7E8}"/>
    <cellStyle name="20% - Accent3 2 3 6 3" xfId="10815" xr:uid="{032A7326-BAE7-45F0-AB1A-D81F54D9F973}"/>
    <cellStyle name="20% - Accent3 2 3 7" xfId="4525" xr:uid="{00000000-0005-0000-0000-00007E010000}"/>
    <cellStyle name="20% - Accent3 2 3 7 2" xfId="12967" xr:uid="{FCE6559A-3625-449D-9FFF-F5FCFC619922}"/>
    <cellStyle name="20% - Accent3 2 3 8" xfId="8749" xr:uid="{99F7DC66-B445-4D0C-B4A0-C1DC48AB88C1}"/>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A99BA856-C8C1-4080-A5CA-C2CD0427ED57}"/>
    <cellStyle name="20% - Accent3 2 4 2 3" xfId="11305" xr:uid="{E0F059AA-9FB4-4AFD-9C91-FD968987ABD1}"/>
    <cellStyle name="20% - Accent3 2 4 3" xfId="4936" xr:uid="{00000000-0005-0000-0000-000082010000}"/>
    <cellStyle name="20% - Accent3 2 4 3 2" xfId="13378" xr:uid="{8B598F6C-E6BA-4006-BEE1-5F82DA2CDB3E}"/>
    <cellStyle name="20% - Accent3 2 4 4" xfId="9160" xr:uid="{EB32F2EE-D81B-4496-BF3D-B8A154864104}"/>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FEE0F37A-771D-4EAD-A6C2-C723063DCAE0}"/>
    <cellStyle name="20% - Accent3 2 5 2 3" xfId="11718" xr:uid="{F1076D01-EB01-4AE8-8D10-1BD768444027}"/>
    <cellStyle name="20% - Accent3 2 5 3" xfId="5349" xr:uid="{00000000-0005-0000-0000-000086010000}"/>
    <cellStyle name="20% - Accent3 2 5 3 2" xfId="13791" xr:uid="{288CC83A-3286-4CA3-9A65-C234DCEA6BD9}"/>
    <cellStyle name="20% - Accent3 2 5 4" xfId="9573" xr:uid="{6099D35A-F96D-4AC9-8564-C357B12282A4}"/>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4D8785F6-C58E-4759-B323-B6E72D937B69}"/>
    <cellStyle name="20% - Accent3 2 6 2 3" xfId="12131" xr:uid="{10548EA7-EAA2-4AFC-BE39-90663B0CA621}"/>
    <cellStyle name="20% - Accent3 2 6 3" xfId="5762" xr:uid="{00000000-0005-0000-0000-00008A010000}"/>
    <cellStyle name="20% - Accent3 2 6 3 2" xfId="14204" xr:uid="{D262C5A1-55D2-4760-80F8-069F70C4FCCD}"/>
    <cellStyle name="20% - Accent3 2 6 4" xfId="9986" xr:uid="{9ADD1326-4A6C-440E-9224-306C70BD0FDC}"/>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2B2076C7-C67B-42D3-BC8F-A0D2B3A59D09}"/>
    <cellStyle name="20% - Accent3 2 7 2 3" xfId="12544" xr:uid="{DBAC7F1E-AE76-4B83-A1DB-439AFB91B9E1}"/>
    <cellStyle name="20% - Accent3 2 7 3" xfId="6175" xr:uid="{00000000-0005-0000-0000-00008E010000}"/>
    <cellStyle name="20% - Accent3 2 7 3 2" xfId="14617" xr:uid="{2804DDB5-CF4F-4EA6-B922-10209ABAC2FE}"/>
    <cellStyle name="20% - Accent3 2 7 4" xfId="10399" xr:uid="{352B4875-0330-4BBF-9DBC-D74D54B6A0E2}"/>
    <cellStyle name="20% - Accent3 2 8" xfId="2281" xr:uid="{00000000-0005-0000-0000-00008F010000}"/>
    <cellStyle name="20% - Accent3 2 8 2" xfId="6588" xr:uid="{00000000-0005-0000-0000-000090010000}"/>
    <cellStyle name="20% - Accent3 2 8 2 2" xfId="15030" xr:uid="{1EFED786-87DF-4E08-B620-F87182993472}"/>
    <cellStyle name="20% - Accent3 2 8 3" xfId="10812" xr:uid="{49D321EF-3398-4B77-91B0-4F0116296555}"/>
    <cellStyle name="20% - Accent3 2 9" xfId="4522" xr:uid="{00000000-0005-0000-0000-000091010000}"/>
    <cellStyle name="20% - Accent3 2 9 2" xfId="12964" xr:uid="{9FC869A2-73E3-44D8-8F53-8FA0141D424E}"/>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D7F6CE66-EB45-47C3-B2F9-63EEC528592E}"/>
    <cellStyle name="20% - Accent3 3 2 2 2 3" xfId="11310" xr:uid="{CD73F1A5-A62D-4070-9303-FA868D1C6CD0}"/>
    <cellStyle name="20% - Accent3 3 2 2 3" xfId="4941" xr:uid="{00000000-0005-0000-0000-000097010000}"/>
    <cellStyle name="20% - Accent3 3 2 2 3 2" xfId="13383" xr:uid="{9B00D274-201F-4BA7-8B82-61AE4E5CEBD4}"/>
    <cellStyle name="20% - Accent3 3 2 2 4" xfId="9165" xr:uid="{7E3A91EC-B0D9-4A03-B30E-D0A5DBA80827}"/>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B85A5AF6-644E-4F87-BF4C-C26312B75742}"/>
    <cellStyle name="20% - Accent3 3 2 3 2 3" xfId="11723" xr:uid="{FC60E13E-3932-492E-8A3A-F44077671854}"/>
    <cellStyle name="20% - Accent3 3 2 3 3" xfId="5354" xr:uid="{00000000-0005-0000-0000-00009B010000}"/>
    <cellStyle name="20% - Accent3 3 2 3 3 2" xfId="13796" xr:uid="{55347FCE-FCC4-4F36-BBAD-439F6DF3DDEA}"/>
    <cellStyle name="20% - Accent3 3 2 3 4" xfId="9578" xr:uid="{921DD90D-578A-4C98-B7FD-9A0445E997EC}"/>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5FC2FACE-7E66-46D3-B3A2-DE7C86463ABE}"/>
    <cellStyle name="20% - Accent3 3 2 4 2 3" xfId="12136" xr:uid="{4A9F25C3-7935-49BA-8C00-A2E94E741914}"/>
    <cellStyle name="20% - Accent3 3 2 4 3" xfId="5767" xr:uid="{00000000-0005-0000-0000-00009F010000}"/>
    <cellStyle name="20% - Accent3 3 2 4 3 2" xfId="14209" xr:uid="{36C1746C-602F-4B95-B7D1-A6BAAD2AC4AB}"/>
    <cellStyle name="20% - Accent3 3 2 4 4" xfId="9991" xr:uid="{8C7FBA76-E954-4E35-9DDD-51BB7E94C0E8}"/>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C49F1D2C-16AD-4346-AE51-0359E9E29BBD}"/>
    <cellStyle name="20% - Accent3 3 2 5 2 3" xfId="12549" xr:uid="{5FF2782D-BF45-42B2-8B06-A5E546C8F6CF}"/>
    <cellStyle name="20% - Accent3 3 2 5 3" xfId="6180" xr:uid="{00000000-0005-0000-0000-0000A3010000}"/>
    <cellStyle name="20% - Accent3 3 2 5 3 2" xfId="14622" xr:uid="{3CE91000-0D26-4463-A2E4-B40B5BAEFE8B}"/>
    <cellStyle name="20% - Accent3 3 2 5 4" xfId="10404" xr:uid="{5F769639-93F9-483D-A4A2-183F930447BE}"/>
    <cellStyle name="20% - Accent3 3 2 6" xfId="2286" xr:uid="{00000000-0005-0000-0000-0000A4010000}"/>
    <cellStyle name="20% - Accent3 3 2 6 2" xfId="6593" xr:uid="{00000000-0005-0000-0000-0000A5010000}"/>
    <cellStyle name="20% - Accent3 3 2 6 2 2" xfId="15035" xr:uid="{9983A676-7C6F-4200-85C3-D73C23B42EED}"/>
    <cellStyle name="20% - Accent3 3 2 6 3" xfId="10817" xr:uid="{EA0F02BD-FF3B-4AD6-9AB6-BB0150CCE9A5}"/>
    <cellStyle name="20% - Accent3 3 2 7" xfId="4527" xr:uid="{00000000-0005-0000-0000-0000A6010000}"/>
    <cellStyle name="20% - Accent3 3 2 7 2" xfId="12969" xr:uid="{9DC37C9B-3EBD-4E3C-A63C-3B656CB6217C}"/>
    <cellStyle name="20% - Accent3 3 2 8" xfId="8751" xr:uid="{46315DCC-450C-406F-9676-D4A1E8B16460}"/>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933169EF-4509-425C-9E1C-38104200405C}"/>
    <cellStyle name="20% - Accent3 3 3 2 3" xfId="11309" xr:uid="{ECEEB4E0-190F-47DF-BB1A-0FB4D2D9B908}"/>
    <cellStyle name="20% - Accent3 3 3 3" xfId="4940" xr:uid="{00000000-0005-0000-0000-0000AA010000}"/>
    <cellStyle name="20% - Accent3 3 3 3 2" xfId="13382" xr:uid="{E4636BB1-E74C-403F-ABF6-3578A675198A}"/>
    <cellStyle name="20% - Accent3 3 3 4" xfId="9164" xr:uid="{07397FD9-F698-4910-9F61-848F7982BB3D}"/>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14B69665-1C4C-4B24-A96B-3E9ACBEDE39C}"/>
    <cellStyle name="20% - Accent3 3 4 2 3" xfId="11722" xr:uid="{C0E5092E-06BA-431E-A246-30930596F2DB}"/>
    <cellStyle name="20% - Accent3 3 4 3" xfId="5353" xr:uid="{00000000-0005-0000-0000-0000AE010000}"/>
    <cellStyle name="20% - Accent3 3 4 3 2" xfId="13795" xr:uid="{0D8A2100-EB83-458F-B1EB-AB7BB47CEBEB}"/>
    <cellStyle name="20% - Accent3 3 4 4" xfId="9577" xr:uid="{D9026E2B-BA8D-4FE0-BAAF-6F75869BF7FE}"/>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8DA49B7C-DF1D-462D-A1DA-127408260CDE}"/>
    <cellStyle name="20% - Accent3 3 5 2 3" xfId="12135" xr:uid="{B01B0F89-BA64-4707-9CFF-ED050D257368}"/>
    <cellStyle name="20% - Accent3 3 5 3" xfId="5766" xr:uid="{00000000-0005-0000-0000-0000B2010000}"/>
    <cellStyle name="20% - Accent3 3 5 3 2" xfId="14208" xr:uid="{56DAF068-BB6A-49D8-975B-E13EB2B965C5}"/>
    <cellStyle name="20% - Accent3 3 5 4" xfId="9990" xr:uid="{56D2B701-A521-418D-91E4-0FF9AD4A67E5}"/>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E9764EAF-EFB8-4E3B-A26B-AB0A10953496}"/>
    <cellStyle name="20% - Accent3 3 6 2 3" xfId="12548" xr:uid="{A607320E-A9B6-4839-AB3F-7C5BBBF5B800}"/>
    <cellStyle name="20% - Accent3 3 6 3" xfId="6179" xr:uid="{00000000-0005-0000-0000-0000B6010000}"/>
    <cellStyle name="20% - Accent3 3 6 3 2" xfId="14621" xr:uid="{78EB9B31-4CAA-416A-BFF7-526C1520395E}"/>
    <cellStyle name="20% - Accent3 3 6 4" xfId="10403" xr:uid="{9C147AD5-2B3A-4F0A-963A-E1887C5B4D3B}"/>
    <cellStyle name="20% - Accent3 3 7" xfId="2285" xr:uid="{00000000-0005-0000-0000-0000B7010000}"/>
    <cellStyle name="20% - Accent3 3 7 2" xfId="6592" xr:uid="{00000000-0005-0000-0000-0000B8010000}"/>
    <cellStyle name="20% - Accent3 3 7 2 2" xfId="15034" xr:uid="{89FAADF3-0B37-46F3-85E8-F34102388393}"/>
    <cellStyle name="20% - Accent3 3 7 3" xfId="10816" xr:uid="{3ADF2F62-0275-4B97-A124-E869AE825782}"/>
    <cellStyle name="20% - Accent3 3 8" xfId="4526" xr:uid="{00000000-0005-0000-0000-0000B9010000}"/>
    <cellStyle name="20% - Accent3 3 8 2" xfId="12968" xr:uid="{67A4D9C8-AD76-4ABD-AB17-7274068AAB46}"/>
    <cellStyle name="20% - Accent3 3 9" xfId="8750" xr:uid="{25C931AF-3624-476C-AF6B-8BEB1468B09C}"/>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328D32B0-A69A-478E-BF82-23302FF8DB11}"/>
    <cellStyle name="20% - Accent3 4 2 2 3" xfId="11311" xr:uid="{F2CB2104-B39E-4339-BAD7-577EA6CF938B}"/>
    <cellStyle name="20% - Accent3 4 2 3" xfId="4942" xr:uid="{00000000-0005-0000-0000-0000BE010000}"/>
    <cellStyle name="20% - Accent3 4 2 3 2" xfId="13384" xr:uid="{4E24D111-2FF3-467E-A8DB-E6FC86753CA0}"/>
    <cellStyle name="20% - Accent3 4 2 4" xfId="9166" xr:uid="{3E96FC9B-7E83-4420-B1A8-3D12CD88DB4C}"/>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BD07E0DB-9D40-44C3-970F-137B27F75AC9}"/>
    <cellStyle name="20% - Accent3 4 3 2 3" xfId="11724" xr:uid="{5A605EFB-0285-49F3-AE66-BAE7BD77C08C}"/>
    <cellStyle name="20% - Accent3 4 3 3" xfId="5355" xr:uid="{00000000-0005-0000-0000-0000C2010000}"/>
    <cellStyle name="20% - Accent3 4 3 3 2" xfId="13797" xr:uid="{C22DAA11-EE90-4D21-B0B9-8D9092ABE69A}"/>
    <cellStyle name="20% - Accent3 4 3 4" xfId="9579" xr:uid="{0A7B5229-FF2B-415C-B886-B6CDA4186194}"/>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918CE52B-3429-4E3E-B2C5-19B60A19E01F}"/>
    <cellStyle name="20% - Accent3 4 4 2 3" xfId="12137" xr:uid="{8800611C-4A91-43C2-A4DC-927DA583A050}"/>
    <cellStyle name="20% - Accent3 4 4 3" xfId="5768" xr:uid="{00000000-0005-0000-0000-0000C6010000}"/>
    <cellStyle name="20% - Accent3 4 4 3 2" xfId="14210" xr:uid="{5CEC996D-9145-43F4-B551-D3B970CBBABF}"/>
    <cellStyle name="20% - Accent3 4 4 4" xfId="9992" xr:uid="{74FD139E-96DD-4EC4-AA7B-5FC2F1CD88C7}"/>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A32AC80B-22BC-41F3-97EC-6F2B177F148B}"/>
    <cellStyle name="20% - Accent3 4 5 2 3" xfId="12550" xr:uid="{3F10CB8D-15DA-4B6E-BB33-F74A4113F612}"/>
    <cellStyle name="20% - Accent3 4 5 3" xfId="6181" xr:uid="{00000000-0005-0000-0000-0000CA010000}"/>
    <cellStyle name="20% - Accent3 4 5 3 2" xfId="14623" xr:uid="{42101137-7C92-4BB5-9EDB-1FF7E7D25C08}"/>
    <cellStyle name="20% - Accent3 4 5 4" xfId="10405" xr:uid="{7BCCFB58-EF84-4332-AF81-719A682BD85E}"/>
    <cellStyle name="20% - Accent3 4 6" xfId="2287" xr:uid="{00000000-0005-0000-0000-0000CB010000}"/>
    <cellStyle name="20% - Accent3 4 6 2" xfId="6594" xr:uid="{00000000-0005-0000-0000-0000CC010000}"/>
    <cellStyle name="20% - Accent3 4 6 2 2" xfId="15036" xr:uid="{2F0C456A-197F-4FB7-A4B1-4F9AFFDE8B68}"/>
    <cellStyle name="20% - Accent3 4 6 3" xfId="10818" xr:uid="{AE872D0B-A9F2-4453-91F9-CDD04B412E63}"/>
    <cellStyle name="20% - Accent3 4 7" xfId="4528" xr:uid="{00000000-0005-0000-0000-0000CD010000}"/>
    <cellStyle name="20% - Accent3 4 7 2" xfId="12970" xr:uid="{FC8ABF67-2AE7-487B-8838-D810438E9004}"/>
    <cellStyle name="20% - Accent3 4 8" xfId="8752" xr:uid="{75C4C87B-FE61-4EA9-B55D-9AA31EFF5730}"/>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CAF21AA5-486C-415F-A26A-C6A0440F6161}"/>
    <cellStyle name="20% - Accent3 5 2 3" xfId="11304" xr:uid="{78A1F79B-59FD-452E-9097-36E266343903}"/>
    <cellStyle name="20% - Accent3 5 3" xfId="4935" xr:uid="{00000000-0005-0000-0000-0000D1010000}"/>
    <cellStyle name="20% - Accent3 5 3 2" xfId="13377" xr:uid="{E6A2109C-80C5-46D6-AA7E-C062E1BE5CCC}"/>
    <cellStyle name="20% - Accent3 5 4" xfId="9159" xr:uid="{2E147BA5-2A60-4304-B1E1-62163B886124}"/>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1BDE1E3C-F2A3-401E-9B21-0E3A14806FDE}"/>
    <cellStyle name="20% - Accent3 6 2 3" xfId="11717" xr:uid="{AE99986B-E520-4C7E-9A6E-C093BCD4CF35}"/>
    <cellStyle name="20% - Accent3 6 3" xfId="5348" xr:uid="{00000000-0005-0000-0000-0000D5010000}"/>
    <cellStyle name="20% - Accent3 6 3 2" xfId="13790" xr:uid="{BB4D5914-E840-4734-AF38-E59EF41D5E3C}"/>
    <cellStyle name="20% - Accent3 6 4" xfId="9572" xr:uid="{5A28951F-C857-4496-8575-79C0DD31D8E8}"/>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E8FCB1AA-C1E9-4B80-A3EB-6A399C43E39B}"/>
    <cellStyle name="20% - Accent3 7 2 3" xfId="12130" xr:uid="{0DDF164C-DA64-4276-982A-13EE0AF6C56A}"/>
    <cellStyle name="20% - Accent3 7 3" xfId="5761" xr:uid="{00000000-0005-0000-0000-0000D9010000}"/>
    <cellStyle name="20% - Accent3 7 3 2" xfId="14203" xr:uid="{AD1F799A-7E96-440E-AA6B-90AFDE534D35}"/>
    <cellStyle name="20% - Accent3 7 4" xfId="9985" xr:uid="{DF7DD0BA-4403-47FF-B077-B495D4E463A1}"/>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DACB014F-51C2-40CB-BA41-3E45BCB51FF6}"/>
    <cellStyle name="20% - Accent3 8 2 3" xfId="12543" xr:uid="{4A124D0C-0AEF-41B0-B3B9-5EB3721826C6}"/>
    <cellStyle name="20% - Accent3 8 3" xfId="6174" xr:uid="{00000000-0005-0000-0000-0000DD010000}"/>
    <cellStyle name="20% - Accent3 8 3 2" xfId="14616" xr:uid="{2DF725FF-4435-4BBB-B229-AC67716AD80F}"/>
    <cellStyle name="20% - Accent3 8 4" xfId="10398" xr:uid="{DBB72FDD-3A8B-4308-B07D-28EC895428D1}"/>
    <cellStyle name="20% - Accent3 9" xfId="2280" xr:uid="{00000000-0005-0000-0000-0000DE010000}"/>
    <cellStyle name="20% - Accent3 9 2" xfId="6587" xr:uid="{00000000-0005-0000-0000-0000DF010000}"/>
    <cellStyle name="20% - Accent3 9 2 2" xfId="15029" xr:uid="{9ECFEFA8-F427-4C22-B726-39C16DCA59E2}"/>
    <cellStyle name="20% - Accent3 9 3" xfId="10811" xr:uid="{B5CAEDE6-8A52-411C-9000-08FD69263E49}"/>
    <cellStyle name="20% - Accent4" xfId="25" builtinId="42" customBuiltin="1"/>
    <cellStyle name="20% - Accent4 10" xfId="4529" xr:uid="{00000000-0005-0000-0000-0000E1010000}"/>
    <cellStyle name="20% - Accent4 10 2" xfId="12971" xr:uid="{A729E267-6F39-495D-ABD2-0720C0D91882}"/>
    <cellStyle name="20% - Accent4 11" xfId="8753" xr:uid="{375B46A8-DDD9-49C3-AC47-69344998E25F}"/>
    <cellStyle name="20% - Accent4 2" xfId="26" xr:uid="{00000000-0005-0000-0000-0000E2010000}"/>
    <cellStyle name="20% - Accent4 2 10" xfId="8754" xr:uid="{C629E573-9C5E-4A82-9928-E073C64D6E0E}"/>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8C44FC5A-2A82-4A19-A92A-4F9AA45B67DF}"/>
    <cellStyle name="20% - Accent4 2 2 2 2 2 3" xfId="11315" xr:uid="{769D265C-F5A0-4618-99AB-5B2C58006B2E}"/>
    <cellStyle name="20% - Accent4 2 2 2 2 3" xfId="4946" xr:uid="{00000000-0005-0000-0000-0000E8010000}"/>
    <cellStyle name="20% - Accent4 2 2 2 2 3 2" xfId="13388" xr:uid="{463645EF-B0AF-4656-9F72-DB4C69E62629}"/>
    <cellStyle name="20% - Accent4 2 2 2 2 4" xfId="9170" xr:uid="{AA1BFE99-2A35-4CFB-AAA6-1D787C18C146}"/>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5CCE7C62-4E8A-4D08-B173-113FFBD94DFB}"/>
    <cellStyle name="20% - Accent4 2 2 2 3 2 3" xfId="11728" xr:uid="{5E8F52F1-C2E5-40E8-8992-A25228813E6E}"/>
    <cellStyle name="20% - Accent4 2 2 2 3 3" xfId="5359" xr:uid="{00000000-0005-0000-0000-0000EC010000}"/>
    <cellStyle name="20% - Accent4 2 2 2 3 3 2" xfId="13801" xr:uid="{E5B2EEE5-ABB3-401E-80A0-1A58124A757D}"/>
    <cellStyle name="20% - Accent4 2 2 2 3 4" xfId="9583" xr:uid="{02F75F7A-8907-4616-85D3-DA4E1BF0550F}"/>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B92E825D-19EE-4FAD-9CF4-F0A2054695C3}"/>
    <cellStyle name="20% - Accent4 2 2 2 4 2 3" xfId="12141" xr:uid="{1FD27B49-0EA5-4225-87D4-A299A92D71D4}"/>
    <cellStyle name="20% - Accent4 2 2 2 4 3" xfId="5772" xr:uid="{00000000-0005-0000-0000-0000F0010000}"/>
    <cellStyle name="20% - Accent4 2 2 2 4 3 2" xfId="14214" xr:uid="{4B1D65EC-E5E1-41D2-B4FE-FDE0FCBCF1E7}"/>
    <cellStyle name="20% - Accent4 2 2 2 4 4" xfId="9996" xr:uid="{A160A9D3-D346-4851-9CAD-BB12C227BA95}"/>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AD847A49-FC8F-41F3-A06D-D0B6702B0FBB}"/>
    <cellStyle name="20% - Accent4 2 2 2 5 2 3" xfId="12554" xr:uid="{65C20861-EAA3-44BD-AD77-12C8E30FD1D0}"/>
    <cellStyle name="20% - Accent4 2 2 2 5 3" xfId="6185" xr:uid="{00000000-0005-0000-0000-0000F4010000}"/>
    <cellStyle name="20% - Accent4 2 2 2 5 3 2" xfId="14627" xr:uid="{B0368B57-001B-44D0-B211-80B701A1C65C}"/>
    <cellStyle name="20% - Accent4 2 2 2 5 4" xfId="10409" xr:uid="{EA47C5EE-B707-46F6-BF5B-82A515035899}"/>
    <cellStyle name="20% - Accent4 2 2 2 6" xfId="2291" xr:uid="{00000000-0005-0000-0000-0000F5010000}"/>
    <cellStyle name="20% - Accent4 2 2 2 6 2" xfId="6598" xr:uid="{00000000-0005-0000-0000-0000F6010000}"/>
    <cellStyle name="20% - Accent4 2 2 2 6 2 2" xfId="15040" xr:uid="{0CA55A79-FA5B-4017-B807-E36B62AA8F3C}"/>
    <cellStyle name="20% - Accent4 2 2 2 6 3" xfId="10822" xr:uid="{37D02EDD-D2C1-4856-98FE-399FF659D09B}"/>
    <cellStyle name="20% - Accent4 2 2 2 7" xfId="4532" xr:uid="{00000000-0005-0000-0000-0000F7010000}"/>
    <cellStyle name="20% - Accent4 2 2 2 7 2" xfId="12974" xr:uid="{59974A22-2AB0-49D1-9AAD-C5A77A90A714}"/>
    <cellStyle name="20% - Accent4 2 2 2 8" xfId="8756" xr:uid="{184F47C3-F321-450D-B278-2D8851FCDE83}"/>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0BCD88F3-8D1E-48D6-9434-E23B9B35F786}"/>
    <cellStyle name="20% - Accent4 2 2 3 2 3" xfId="11314" xr:uid="{F903BAE0-FD2E-4AF6-9C0D-8C932109C0C9}"/>
    <cellStyle name="20% - Accent4 2 2 3 3" xfId="4945" xr:uid="{00000000-0005-0000-0000-0000FB010000}"/>
    <cellStyle name="20% - Accent4 2 2 3 3 2" xfId="13387" xr:uid="{5DA31134-BD4A-4D07-99EE-9C8041EE5AC7}"/>
    <cellStyle name="20% - Accent4 2 2 3 4" xfId="9169" xr:uid="{14EC7C1A-C5A0-40A9-B91A-C8727ECFEBB7}"/>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46F47D61-299D-43C2-8A26-F8F29F3CA2E7}"/>
    <cellStyle name="20% - Accent4 2 2 4 2 3" xfId="11727" xr:uid="{3FEF4BCD-18AE-4DDC-B1C6-27DE2962B267}"/>
    <cellStyle name="20% - Accent4 2 2 4 3" xfId="5358" xr:uid="{00000000-0005-0000-0000-0000FF010000}"/>
    <cellStyle name="20% - Accent4 2 2 4 3 2" xfId="13800" xr:uid="{648832CA-5B8E-496C-8C32-E5939F094C96}"/>
    <cellStyle name="20% - Accent4 2 2 4 4" xfId="9582" xr:uid="{FB1584D9-0691-4112-9111-3A75B01A76B0}"/>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784D3CB6-A112-46AA-B44F-DE3C064AF180}"/>
    <cellStyle name="20% - Accent4 2 2 5 2 3" xfId="12140" xr:uid="{91A4EBD4-B449-418A-AA29-03B1F5ED4A0E}"/>
    <cellStyle name="20% - Accent4 2 2 5 3" xfId="5771" xr:uid="{00000000-0005-0000-0000-000003020000}"/>
    <cellStyle name="20% - Accent4 2 2 5 3 2" xfId="14213" xr:uid="{D8B0F317-DB13-4BB5-844F-61403A265C0D}"/>
    <cellStyle name="20% - Accent4 2 2 5 4" xfId="9995" xr:uid="{F6DFC5BC-BB8B-490F-B0B9-29A240819F1F}"/>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E96394A0-3766-4B1F-933D-756CE2C5C11A}"/>
    <cellStyle name="20% - Accent4 2 2 6 2 3" xfId="12553" xr:uid="{B8EB9800-42E9-44B8-8037-FA8174DE9BAF}"/>
    <cellStyle name="20% - Accent4 2 2 6 3" xfId="6184" xr:uid="{00000000-0005-0000-0000-000007020000}"/>
    <cellStyle name="20% - Accent4 2 2 6 3 2" xfId="14626" xr:uid="{1B4371A8-78B7-4C16-8530-377A3BDE1C37}"/>
    <cellStyle name="20% - Accent4 2 2 6 4" xfId="10408" xr:uid="{302B8210-D95B-4D56-8DBF-0E2513309ED1}"/>
    <cellStyle name="20% - Accent4 2 2 7" xfId="2290" xr:uid="{00000000-0005-0000-0000-000008020000}"/>
    <cellStyle name="20% - Accent4 2 2 7 2" xfId="6597" xr:uid="{00000000-0005-0000-0000-000009020000}"/>
    <cellStyle name="20% - Accent4 2 2 7 2 2" xfId="15039" xr:uid="{9726D3EC-6BF1-448D-B0CF-E96FE8228C1E}"/>
    <cellStyle name="20% - Accent4 2 2 7 3" xfId="10821" xr:uid="{8C6D36F2-4CF1-4FE4-8ADF-A83B4A9A7F01}"/>
    <cellStyle name="20% - Accent4 2 2 8" xfId="4531" xr:uid="{00000000-0005-0000-0000-00000A020000}"/>
    <cellStyle name="20% - Accent4 2 2 8 2" xfId="12973" xr:uid="{8B2D5651-BC29-44DB-8238-9818D59A2EFA}"/>
    <cellStyle name="20% - Accent4 2 2 9" xfId="8755" xr:uid="{B09414EB-2B86-4285-900C-D61C49FB05DE}"/>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25BB19C7-ACE2-49F7-B8BD-FACAA1CB0322}"/>
    <cellStyle name="20% - Accent4 2 3 2 2 3" xfId="11316" xr:uid="{92BDCD95-381B-4677-931A-76814FA959CD}"/>
    <cellStyle name="20% - Accent4 2 3 2 3" xfId="4947" xr:uid="{00000000-0005-0000-0000-00000F020000}"/>
    <cellStyle name="20% - Accent4 2 3 2 3 2" xfId="13389" xr:uid="{EF817732-FC70-4012-BAD6-63A85E46900C}"/>
    <cellStyle name="20% - Accent4 2 3 2 4" xfId="9171" xr:uid="{A2A392AF-8CEB-485A-A653-340C8F6C51FF}"/>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32B21607-F1EB-414E-871A-87BBFE3881C5}"/>
    <cellStyle name="20% - Accent4 2 3 3 2 3" xfId="11729" xr:uid="{89BA8046-A312-440E-A44B-33A5DB367EAA}"/>
    <cellStyle name="20% - Accent4 2 3 3 3" xfId="5360" xr:uid="{00000000-0005-0000-0000-000013020000}"/>
    <cellStyle name="20% - Accent4 2 3 3 3 2" xfId="13802" xr:uid="{C0A5A305-FD68-47A9-933E-C6803F0FA80D}"/>
    <cellStyle name="20% - Accent4 2 3 3 4" xfId="9584" xr:uid="{DBC3D3DB-408B-45DA-A64A-CD7953A7AB66}"/>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4677A80D-B915-4B4C-AF59-832286EE6BB8}"/>
    <cellStyle name="20% - Accent4 2 3 4 2 3" xfId="12142" xr:uid="{D43B6F29-C691-433A-89A0-5974E0F143F0}"/>
    <cellStyle name="20% - Accent4 2 3 4 3" xfId="5773" xr:uid="{00000000-0005-0000-0000-000017020000}"/>
    <cellStyle name="20% - Accent4 2 3 4 3 2" xfId="14215" xr:uid="{0CD40ED4-0E6F-4936-BDA0-5BBE169B6054}"/>
    <cellStyle name="20% - Accent4 2 3 4 4" xfId="9997" xr:uid="{37AD759C-CD45-4CC1-8FCB-B5585C3A8F5B}"/>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C91B577F-922C-485B-A209-F4A06083BF62}"/>
    <cellStyle name="20% - Accent4 2 3 5 2 3" xfId="12555" xr:uid="{66F7EF4C-3212-4067-BFEB-EE8FB86A78BC}"/>
    <cellStyle name="20% - Accent4 2 3 5 3" xfId="6186" xr:uid="{00000000-0005-0000-0000-00001B020000}"/>
    <cellStyle name="20% - Accent4 2 3 5 3 2" xfId="14628" xr:uid="{7A7210A3-C702-477C-8898-E8C020CE3834}"/>
    <cellStyle name="20% - Accent4 2 3 5 4" xfId="10410" xr:uid="{DE22C465-E694-4AD9-B9D3-6A15B4444010}"/>
    <cellStyle name="20% - Accent4 2 3 6" xfId="2292" xr:uid="{00000000-0005-0000-0000-00001C020000}"/>
    <cellStyle name="20% - Accent4 2 3 6 2" xfId="6599" xr:uid="{00000000-0005-0000-0000-00001D020000}"/>
    <cellStyle name="20% - Accent4 2 3 6 2 2" xfId="15041" xr:uid="{960FE17F-59A4-41F5-BECE-928B71FC9DF2}"/>
    <cellStyle name="20% - Accent4 2 3 6 3" xfId="10823" xr:uid="{5630CFD5-E3D9-431C-8957-01F94BFC349A}"/>
    <cellStyle name="20% - Accent4 2 3 7" xfId="4533" xr:uid="{00000000-0005-0000-0000-00001E020000}"/>
    <cellStyle name="20% - Accent4 2 3 7 2" xfId="12975" xr:uid="{84629590-3493-4580-9718-E361D4D19656}"/>
    <cellStyle name="20% - Accent4 2 3 8" xfId="8757" xr:uid="{6BB7E171-79F4-4404-950F-E8D489BE7F33}"/>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C41FD56B-9233-4D05-B1A2-DA9DB7E9B78F}"/>
    <cellStyle name="20% - Accent4 2 4 2 3" xfId="11313" xr:uid="{AB22C582-D3A8-4391-9B37-A0427465A378}"/>
    <cellStyle name="20% - Accent4 2 4 3" xfId="4944" xr:uid="{00000000-0005-0000-0000-000022020000}"/>
    <cellStyle name="20% - Accent4 2 4 3 2" xfId="13386" xr:uid="{E55AF889-BBED-480B-9A11-F5033E5FF028}"/>
    <cellStyle name="20% - Accent4 2 4 4" xfId="9168" xr:uid="{DA8A598E-E922-46D5-989F-D9ECCAD12A8F}"/>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14914F98-F896-4806-8888-3938A594C337}"/>
    <cellStyle name="20% - Accent4 2 5 2 3" xfId="11726" xr:uid="{9FF7CB53-1E06-4636-BF00-440EFC48CF5F}"/>
    <cellStyle name="20% - Accent4 2 5 3" xfId="5357" xr:uid="{00000000-0005-0000-0000-000026020000}"/>
    <cellStyle name="20% - Accent4 2 5 3 2" xfId="13799" xr:uid="{C8479FB2-D0F2-461E-B0AD-51AB098420C3}"/>
    <cellStyle name="20% - Accent4 2 5 4" xfId="9581" xr:uid="{1681AB1F-72DE-4AE5-A28D-F286EFD7236C}"/>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F63A813C-09DB-4FEF-B8C3-BF8D6B40F90D}"/>
    <cellStyle name="20% - Accent4 2 6 2 3" xfId="12139" xr:uid="{1C84D34B-FE63-496F-856A-F1A29DC7433C}"/>
    <cellStyle name="20% - Accent4 2 6 3" xfId="5770" xr:uid="{00000000-0005-0000-0000-00002A020000}"/>
    <cellStyle name="20% - Accent4 2 6 3 2" xfId="14212" xr:uid="{7DB23C2E-41D2-41AA-890F-ECD10EBE2F09}"/>
    <cellStyle name="20% - Accent4 2 6 4" xfId="9994" xr:uid="{C67A3E5D-6770-44DB-AA2E-01CD6247440E}"/>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24F8201B-8059-4781-94C3-50732D604B40}"/>
    <cellStyle name="20% - Accent4 2 7 2 3" xfId="12552" xr:uid="{8C73E78D-6B08-4B04-90B5-7465E9D03A4F}"/>
    <cellStyle name="20% - Accent4 2 7 3" xfId="6183" xr:uid="{00000000-0005-0000-0000-00002E020000}"/>
    <cellStyle name="20% - Accent4 2 7 3 2" xfId="14625" xr:uid="{BB478C49-8B05-432B-8104-71957F96F8F6}"/>
    <cellStyle name="20% - Accent4 2 7 4" xfId="10407" xr:uid="{C0B93801-0226-4B7A-BA5B-FA935656C6BD}"/>
    <cellStyle name="20% - Accent4 2 8" xfId="2289" xr:uid="{00000000-0005-0000-0000-00002F020000}"/>
    <cellStyle name="20% - Accent4 2 8 2" xfId="6596" xr:uid="{00000000-0005-0000-0000-000030020000}"/>
    <cellStyle name="20% - Accent4 2 8 2 2" xfId="15038" xr:uid="{3F0B19D9-BF9E-4A96-9FCF-5FA938E2FFAD}"/>
    <cellStyle name="20% - Accent4 2 8 3" xfId="10820" xr:uid="{19EDFBEA-472F-482B-9D19-F7BC224F60B2}"/>
    <cellStyle name="20% - Accent4 2 9" xfId="4530" xr:uid="{00000000-0005-0000-0000-000031020000}"/>
    <cellStyle name="20% - Accent4 2 9 2" xfId="12972" xr:uid="{5FF7C030-D613-4A67-9E75-46DDDBA519B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27557A05-ADE1-4147-8863-A3FBF69F8B47}"/>
    <cellStyle name="20% - Accent4 3 2 2 2 3" xfId="11318" xr:uid="{F03A7868-58DA-4FFC-83D4-2197EBE17A86}"/>
    <cellStyle name="20% - Accent4 3 2 2 3" xfId="4949" xr:uid="{00000000-0005-0000-0000-000037020000}"/>
    <cellStyle name="20% - Accent4 3 2 2 3 2" xfId="13391" xr:uid="{11874CD9-5678-40B0-B2CE-74CAF71FD118}"/>
    <cellStyle name="20% - Accent4 3 2 2 4" xfId="9173" xr:uid="{D22C3551-219C-49D0-8782-2C87D18DB37A}"/>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AE4F1AAC-D69B-4043-A7F2-B8E82C42B9A9}"/>
    <cellStyle name="20% - Accent4 3 2 3 2 3" xfId="11731" xr:uid="{0EEF041A-D585-45C2-9164-D00BB9AA6253}"/>
    <cellStyle name="20% - Accent4 3 2 3 3" xfId="5362" xr:uid="{00000000-0005-0000-0000-00003B020000}"/>
    <cellStyle name="20% - Accent4 3 2 3 3 2" xfId="13804" xr:uid="{9FB6DF8A-FBCC-4BA4-9670-619455BAA1F3}"/>
    <cellStyle name="20% - Accent4 3 2 3 4" xfId="9586" xr:uid="{FB29ED5D-DE62-4418-8155-0E8B79A9E207}"/>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3C915464-3842-42E6-947A-9E8BCB7B293B}"/>
    <cellStyle name="20% - Accent4 3 2 4 2 3" xfId="12144" xr:uid="{6E3C816B-4A10-44E0-AD4E-D73609C6F6E0}"/>
    <cellStyle name="20% - Accent4 3 2 4 3" xfId="5775" xr:uid="{00000000-0005-0000-0000-00003F020000}"/>
    <cellStyle name="20% - Accent4 3 2 4 3 2" xfId="14217" xr:uid="{6CF3C2E8-C864-4443-8959-62A795E339E7}"/>
    <cellStyle name="20% - Accent4 3 2 4 4" xfId="9999" xr:uid="{45D852EA-FF15-4EF1-8AD5-647F928F8DBE}"/>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AD8A67CA-FA00-407E-9378-8481085DC79C}"/>
    <cellStyle name="20% - Accent4 3 2 5 2 3" xfId="12557" xr:uid="{E86317BE-BFCA-4229-A8D4-AA88EDF25B02}"/>
    <cellStyle name="20% - Accent4 3 2 5 3" xfId="6188" xr:uid="{00000000-0005-0000-0000-000043020000}"/>
    <cellStyle name="20% - Accent4 3 2 5 3 2" xfId="14630" xr:uid="{50CB5766-F9AB-40A6-9E96-A0289C96A421}"/>
    <cellStyle name="20% - Accent4 3 2 5 4" xfId="10412" xr:uid="{06140A3F-CD98-499F-98D1-7719AE23888A}"/>
    <cellStyle name="20% - Accent4 3 2 6" xfId="2294" xr:uid="{00000000-0005-0000-0000-000044020000}"/>
    <cellStyle name="20% - Accent4 3 2 6 2" xfId="6601" xr:uid="{00000000-0005-0000-0000-000045020000}"/>
    <cellStyle name="20% - Accent4 3 2 6 2 2" xfId="15043" xr:uid="{74D27579-F090-4FC4-A350-2748564B2E82}"/>
    <cellStyle name="20% - Accent4 3 2 6 3" xfId="10825" xr:uid="{2F555B59-7B7D-4B26-B543-8815454DE10E}"/>
    <cellStyle name="20% - Accent4 3 2 7" xfId="4535" xr:uid="{00000000-0005-0000-0000-000046020000}"/>
    <cellStyle name="20% - Accent4 3 2 7 2" xfId="12977" xr:uid="{2BEF4CFC-63B6-4EEC-9D58-EDAAE0B1EF7D}"/>
    <cellStyle name="20% - Accent4 3 2 8" xfId="8759" xr:uid="{DF41BA97-96C4-4976-B3B4-E69D6D29C004}"/>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238B8BBE-0C76-43C3-A972-53915C12EE79}"/>
    <cellStyle name="20% - Accent4 3 3 2 3" xfId="11317" xr:uid="{CD220C41-025B-4FAE-A02D-818DDC06709A}"/>
    <cellStyle name="20% - Accent4 3 3 3" xfId="4948" xr:uid="{00000000-0005-0000-0000-00004A020000}"/>
    <cellStyle name="20% - Accent4 3 3 3 2" xfId="13390" xr:uid="{1DFAD107-1D53-42C1-8E83-F2A796098D9A}"/>
    <cellStyle name="20% - Accent4 3 3 4" xfId="9172" xr:uid="{2405AE70-C318-471F-81BE-EF81AFB309CC}"/>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606E29EF-83AC-49B9-8DF3-A75E95ABC0F0}"/>
    <cellStyle name="20% - Accent4 3 4 2 3" xfId="11730" xr:uid="{D3653A4F-B0F1-48F4-9B47-F5AC1892EC99}"/>
    <cellStyle name="20% - Accent4 3 4 3" xfId="5361" xr:uid="{00000000-0005-0000-0000-00004E020000}"/>
    <cellStyle name="20% - Accent4 3 4 3 2" xfId="13803" xr:uid="{CA53267A-4407-4F7A-8A4A-5527C5E57BCF}"/>
    <cellStyle name="20% - Accent4 3 4 4" xfId="9585" xr:uid="{E8FA1A5A-E1F1-4C42-98F6-121BD8094EF9}"/>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7996592F-F702-4CDF-8C70-A1AA4EC54A59}"/>
    <cellStyle name="20% - Accent4 3 5 2 3" xfId="12143" xr:uid="{E90D285F-52EF-49E1-BA08-B7757BBB8DE7}"/>
    <cellStyle name="20% - Accent4 3 5 3" xfId="5774" xr:uid="{00000000-0005-0000-0000-000052020000}"/>
    <cellStyle name="20% - Accent4 3 5 3 2" xfId="14216" xr:uid="{E7B1CC74-30C0-4D03-9E7B-F3532D530A62}"/>
    <cellStyle name="20% - Accent4 3 5 4" xfId="9998" xr:uid="{E053F3BA-6DDE-40BD-8645-F439FAD538F3}"/>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5FC5EDD6-BDE9-41A7-B155-1632F530941A}"/>
    <cellStyle name="20% - Accent4 3 6 2 3" xfId="12556" xr:uid="{112F199A-1084-4C40-B1C5-73C1C09C93DD}"/>
    <cellStyle name="20% - Accent4 3 6 3" xfId="6187" xr:uid="{00000000-0005-0000-0000-000056020000}"/>
    <cellStyle name="20% - Accent4 3 6 3 2" xfId="14629" xr:uid="{7DFB8E05-C4E2-4225-89CB-EE704C49355C}"/>
    <cellStyle name="20% - Accent4 3 6 4" xfId="10411" xr:uid="{AB750F86-1544-4C13-8809-269F7C90FB6D}"/>
    <cellStyle name="20% - Accent4 3 7" xfId="2293" xr:uid="{00000000-0005-0000-0000-000057020000}"/>
    <cellStyle name="20% - Accent4 3 7 2" xfId="6600" xr:uid="{00000000-0005-0000-0000-000058020000}"/>
    <cellStyle name="20% - Accent4 3 7 2 2" xfId="15042" xr:uid="{AB0F2D77-31EF-445C-913D-5CA8BC04367A}"/>
    <cellStyle name="20% - Accent4 3 7 3" xfId="10824" xr:uid="{E6EE2471-DEDE-4C15-B53B-7E15A76AAF3D}"/>
    <cellStyle name="20% - Accent4 3 8" xfId="4534" xr:uid="{00000000-0005-0000-0000-000059020000}"/>
    <cellStyle name="20% - Accent4 3 8 2" xfId="12976" xr:uid="{9D74AA8F-28F8-4BC8-B19A-D787897FAC86}"/>
    <cellStyle name="20% - Accent4 3 9" xfId="8758" xr:uid="{B8C8A163-E7AA-47A3-A3D9-A42C517180E8}"/>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67633ABE-8DB9-438D-9E1E-6F29EB422D77}"/>
    <cellStyle name="20% - Accent4 4 2 2 3" xfId="11319" xr:uid="{5EE7DAFC-98C5-4B6C-B8E1-6E59917F4E5C}"/>
    <cellStyle name="20% - Accent4 4 2 3" xfId="4950" xr:uid="{00000000-0005-0000-0000-00005E020000}"/>
    <cellStyle name="20% - Accent4 4 2 3 2" xfId="13392" xr:uid="{FEB7945B-0E85-4F15-AAAB-1582586599C8}"/>
    <cellStyle name="20% - Accent4 4 2 4" xfId="9174" xr:uid="{FF466437-5B7F-4D0B-8E18-E60A21DDFE47}"/>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A6AF68A4-FD1D-4EA5-9EEC-CC080FF55E12}"/>
    <cellStyle name="20% - Accent4 4 3 2 3" xfId="11732" xr:uid="{934ACD9E-F1BB-4252-8458-EEC2B5923320}"/>
    <cellStyle name="20% - Accent4 4 3 3" xfId="5363" xr:uid="{00000000-0005-0000-0000-000062020000}"/>
    <cellStyle name="20% - Accent4 4 3 3 2" xfId="13805" xr:uid="{A7F8356D-9442-4E74-B2B1-9E8CCBEE7ED7}"/>
    <cellStyle name="20% - Accent4 4 3 4" xfId="9587" xr:uid="{2821C61E-D461-4621-B407-9D9C73C37236}"/>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C79180E1-4942-43C2-A822-00C5B8C2CB68}"/>
    <cellStyle name="20% - Accent4 4 4 2 3" xfId="12145" xr:uid="{D2ABBF33-5531-4AFE-8913-5C73666A90EA}"/>
    <cellStyle name="20% - Accent4 4 4 3" xfId="5776" xr:uid="{00000000-0005-0000-0000-000066020000}"/>
    <cellStyle name="20% - Accent4 4 4 3 2" xfId="14218" xr:uid="{093E5954-5856-41AC-B58E-19686495D7D5}"/>
    <cellStyle name="20% - Accent4 4 4 4" xfId="10000" xr:uid="{95E65B6F-1D70-4A83-9625-216E5EE42813}"/>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2FDA64D5-BD26-42E4-8E75-899325BF80C0}"/>
    <cellStyle name="20% - Accent4 4 5 2 3" xfId="12558" xr:uid="{FFEFF326-7D5F-453C-B35A-6927026C07C7}"/>
    <cellStyle name="20% - Accent4 4 5 3" xfId="6189" xr:uid="{00000000-0005-0000-0000-00006A020000}"/>
    <cellStyle name="20% - Accent4 4 5 3 2" xfId="14631" xr:uid="{DD946099-2681-4997-A3AF-387AA3956799}"/>
    <cellStyle name="20% - Accent4 4 5 4" xfId="10413" xr:uid="{91B0D2EE-378E-4A9C-B023-75463F01EC07}"/>
    <cellStyle name="20% - Accent4 4 6" xfId="2295" xr:uid="{00000000-0005-0000-0000-00006B020000}"/>
    <cellStyle name="20% - Accent4 4 6 2" xfId="6602" xr:uid="{00000000-0005-0000-0000-00006C020000}"/>
    <cellStyle name="20% - Accent4 4 6 2 2" xfId="15044" xr:uid="{74BEF1C7-E340-4217-9C04-7FD812E34CDB}"/>
    <cellStyle name="20% - Accent4 4 6 3" xfId="10826" xr:uid="{0E454E89-9953-415C-94A4-028D22569EFA}"/>
    <cellStyle name="20% - Accent4 4 7" xfId="4536" xr:uid="{00000000-0005-0000-0000-00006D020000}"/>
    <cellStyle name="20% - Accent4 4 7 2" xfId="12978" xr:uid="{E34D29DC-DA10-496E-8582-01A808BE3543}"/>
    <cellStyle name="20% - Accent4 4 8" xfId="8760" xr:uid="{BD82E30B-35D3-43AB-894E-58B383663479}"/>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3B4B27F7-5D3B-4A5C-ADBD-727B65E465EF}"/>
    <cellStyle name="20% - Accent4 5 2 3" xfId="11312" xr:uid="{9D8BE36F-F586-4BB1-91E2-CA4BA1DA806A}"/>
    <cellStyle name="20% - Accent4 5 3" xfId="4943" xr:uid="{00000000-0005-0000-0000-000071020000}"/>
    <cellStyle name="20% - Accent4 5 3 2" xfId="13385" xr:uid="{78200F04-1F55-4F8D-9C20-8E45F424577D}"/>
    <cellStyle name="20% - Accent4 5 4" xfId="9167" xr:uid="{1744670D-74B7-4171-9A6A-0B2B4E93E195}"/>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7225CCC9-4500-45FA-8638-62D57D5370D5}"/>
    <cellStyle name="20% - Accent4 6 2 3" xfId="11725" xr:uid="{E239A00D-30E0-4675-BA85-9466DAF72B69}"/>
    <cellStyle name="20% - Accent4 6 3" xfId="5356" xr:uid="{00000000-0005-0000-0000-000075020000}"/>
    <cellStyle name="20% - Accent4 6 3 2" xfId="13798" xr:uid="{675E7332-066C-44BB-931B-9E04953C821D}"/>
    <cellStyle name="20% - Accent4 6 4" xfId="9580" xr:uid="{10A5B826-3D34-4569-B625-A4362E6A8C0A}"/>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3B844BDE-4CF4-4690-A07F-46C8B806E1A0}"/>
    <cellStyle name="20% - Accent4 7 2 3" xfId="12138" xr:uid="{889C12FC-F4A1-42C1-B7AC-D99D7BC12C77}"/>
    <cellStyle name="20% - Accent4 7 3" xfId="5769" xr:uid="{00000000-0005-0000-0000-000079020000}"/>
    <cellStyle name="20% - Accent4 7 3 2" xfId="14211" xr:uid="{BEA79E0D-E841-4248-9728-8DB214922038}"/>
    <cellStyle name="20% - Accent4 7 4" xfId="9993" xr:uid="{449FC2D3-DE89-400D-A2FC-9660FA36856C}"/>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15E9487A-B4A5-4907-9E62-A6EE493BD44E}"/>
    <cellStyle name="20% - Accent4 8 2 3" xfId="12551" xr:uid="{983014A2-001A-4EDB-A7A8-8350C06C1A04}"/>
    <cellStyle name="20% - Accent4 8 3" xfId="6182" xr:uid="{00000000-0005-0000-0000-00007D020000}"/>
    <cellStyle name="20% - Accent4 8 3 2" xfId="14624" xr:uid="{519D1DBA-1C87-4DF7-BF5D-1314F236E826}"/>
    <cellStyle name="20% - Accent4 8 4" xfId="10406" xr:uid="{7AE4A806-7477-42D3-840D-2EFB410DF130}"/>
    <cellStyle name="20% - Accent4 9" xfId="2288" xr:uid="{00000000-0005-0000-0000-00007E020000}"/>
    <cellStyle name="20% - Accent4 9 2" xfId="6595" xr:uid="{00000000-0005-0000-0000-00007F020000}"/>
    <cellStyle name="20% - Accent4 9 2 2" xfId="15037" xr:uid="{6C3D1A89-5F9A-4934-BF49-2C2718ECAD27}"/>
    <cellStyle name="20% - Accent4 9 3" xfId="10819" xr:uid="{4EE647E2-AE1A-4107-BF3E-2B2F0480C6A1}"/>
    <cellStyle name="20% - Accent5" xfId="33" builtinId="46" customBuiltin="1"/>
    <cellStyle name="20% - Accent5 10" xfId="4537" xr:uid="{00000000-0005-0000-0000-000081020000}"/>
    <cellStyle name="20% - Accent5 10 2" xfId="12979" xr:uid="{83132838-7D70-4C62-AE49-7474EC942500}"/>
    <cellStyle name="20% - Accent5 11" xfId="8761" xr:uid="{F35E6EF3-B8F1-4615-A576-236AE2A5E036}"/>
    <cellStyle name="20% - Accent5 2" xfId="34" xr:uid="{00000000-0005-0000-0000-000082020000}"/>
    <cellStyle name="20% - Accent5 2 10" xfId="8762" xr:uid="{4527E04D-CAA6-4A47-9B74-6BBA4F1E99DB}"/>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5C61FEB3-6424-442A-8BE9-35FB0DDD62B8}"/>
    <cellStyle name="20% - Accent5 2 2 2 2 2 3" xfId="11323" xr:uid="{6DB5B1E8-54F0-4430-9705-018F6574972E}"/>
    <cellStyle name="20% - Accent5 2 2 2 2 3" xfId="4954" xr:uid="{00000000-0005-0000-0000-000088020000}"/>
    <cellStyle name="20% - Accent5 2 2 2 2 3 2" xfId="13396" xr:uid="{B44F4AE1-ACBE-4AB8-AE0A-F66C4FF58EB3}"/>
    <cellStyle name="20% - Accent5 2 2 2 2 4" xfId="9178" xr:uid="{DA8E2169-51F6-41A8-B818-09001BCF602A}"/>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95936A10-D898-486C-952D-9BA54A2009FD}"/>
    <cellStyle name="20% - Accent5 2 2 2 3 2 3" xfId="11736" xr:uid="{8B155A82-5259-4AED-B0E4-21F58B45607A}"/>
    <cellStyle name="20% - Accent5 2 2 2 3 3" xfId="5367" xr:uid="{00000000-0005-0000-0000-00008C020000}"/>
    <cellStyle name="20% - Accent5 2 2 2 3 3 2" xfId="13809" xr:uid="{69CEA661-F0B0-46DA-94A4-8190130CD2C5}"/>
    <cellStyle name="20% - Accent5 2 2 2 3 4" xfId="9591" xr:uid="{95BF1BC1-147F-480D-8463-D252D7E581FB}"/>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F5F4D9DC-917C-4E93-A68B-1BABBA3AABE2}"/>
    <cellStyle name="20% - Accent5 2 2 2 4 2 3" xfId="12149" xr:uid="{4C9C42B7-FB49-4359-AEA3-ECAC10D2E1BF}"/>
    <cellStyle name="20% - Accent5 2 2 2 4 3" xfId="5780" xr:uid="{00000000-0005-0000-0000-000090020000}"/>
    <cellStyle name="20% - Accent5 2 2 2 4 3 2" xfId="14222" xr:uid="{39D785DB-3289-45D2-BE54-0109FB406CD3}"/>
    <cellStyle name="20% - Accent5 2 2 2 4 4" xfId="10004" xr:uid="{DB3B5F0F-CE81-4CFE-A416-B17C6957F96E}"/>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0A83985C-EB89-4715-ABA8-0D1F4988E193}"/>
    <cellStyle name="20% - Accent5 2 2 2 5 2 3" xfId="12562" xr:uid="{0BED7376-614E-4A27-AFD9-300569E64DF3}"/>
    <cellStyle name="20% - Accent5 2 2 2 5 3" xfId="6193" xr:uid="{00000000-0005-0000-0000-000094020000}"/>
    <cellStyle name="20% - Accent5 2 2 2 5 3 2" xfId="14635" xr:uid="{A39CB057-6F9F-45BB-A86F-33C7D3342CEE}"/>
    <cellStyle name="20% - Accent5 2 2 2 5 4" xfId="10417" xr:uid="{A3CC28AD-436E-46F5-8CE9-59ED0A6F8076}"/>
    <cellStyle name="20% - Accent5 2 2 2 6" xfId="2299" xr:uid="{00000000-0005-0000-0000-000095020000}"/>
    <cellStyle name="20% - Accent5 2 2 2 6 2" xfId="6606" xr:uid="{00000000-0005-0000-0000-000096020000}"/>
    <cellStyle name="20% - Accent5 2 2 2 6 2 2" xfId="15048" xr:uid="{B1F4F2E0-C551-4A8E-80CC-B04305B05522}"/>
    <cellStyle name="20% - Accent5 2 2 2 6 3" xfId="10830" xr:uid="{1AB07FD0-B5A4-4F22-A7A3-49268FB7C9E0}"/>
    <cellStyle name="20% - Accent5 2 2 2 7" xfId="4540" xr:uid="{00000000-0005-0000-0000-000097020000}"/>
    <cellStyle name="20% - Accent5 2 2 2 7 2" xfId="12982" xr:uid="{4980DA20-BBE8-4A4B-A435-E6455DDAF75C}"/>
    <cellStyle name="20% - Accent5 2 2 2 8" xfId="8764" xr:uid="{01200927-AC90-4693-AC4D-D1C05A4E2E8A}"/>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FB7AD8B2-1F41-45C3-A593-BE4814118424}"/>
    <cellStyle name="20% - Accent5 2 2 3 2 3" xfId="11322" xr:uid="{78F939C4-D80A-4FF7-9D6B-C9084A8F4305}"/>
    <cellStyle name="20% - Accent5 2 2 3 3" xfId="4953" xr:uid="{00000000-0005-0000-0000-00009B020000}"/>
    <cellStyle name="20% - Accent5 2 2 3 3 2" xfId="13395" xr:uid="{6E16FEAB-2B39-4643-A57E-8E409EF989D5}"/>
    <cellStyle name="20% - Accent5 2 2 3 4" xfId="9177" xr:uid="{E140B8B1-8BE1-46CA-8153-A9FFD65BB47C}"/>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9C1D3AB1-01B2-493F-B67D-C8263C9CDBC0}"/>
    <cellStyle name="20% - Accent5 2 2 4 2 3" xfId="11735" xr:uid="{DD7CD395-7BD3-44A1-9D40-6BED517D7C9D}"/>
    <cellStyle name="20% - Accent5 2 2 4 3" xfId="5366" xr:uid="{00000000-0005-0000-0000-00009F020000}"/>
    <cellStyle name="20% - Accent5 2 2 4 3 2" xfId="13808" xr:uid="{CD5C5953-8912-4D4B-9C3E-F9AE2156DB6C}"/>
    <cellStyle name="20% - Accent5 2 2 4 4" xfId="9590" xr:uid="{414EFA7A-30F4-4C87-B8A1-E0C275AB72AB}"/>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6FE72634-8AF1-45B4-AE4E-2787A926A9FD}"/>
    <cellStyle name="20% - Accent5 2 2 5 2 3" xfId="12148" xr:uid="{E30856C9-FEDA-412E-B8C3-D601C343CF2B}"/>
    <cellStyle name="20% - Accent5 2 2 5 3" xfId="5779" xr:uid="{00000000-0005-0000-0000-0000A3020000}"/>
    <cellStyle name="20% - Accent5 2 2 5 3 2" xfId="14221" xr:uid="{E5A33F2A-E5D2-4B1B-8301-4ACA3951C11F}"/>
    <cellStyle name="20% - Accent5 2 2 5 4" xfId="10003" xr:uid="{3DAEC756-0760-47A2-BA50-A5F5ECA5A43C}"/>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8A5F909D-0D7C-4282-9AC5-D140A7F9A125}"/>
    <cellStyle name="20% - Accent5 2 2 6 2 3" xfId="12561" xr:uid="{C1C20514-CDC1-471D-9BCA-71A4E2CE5F93}"/>
    <cellStyle name="20% - Accent5 2 2 6 3" xfId="6192" xr:uid="{00000000-0005-0000-0000-0000A7020000}"/>
    <cellStyle name="20% - Accent5 2 2 6 3 2" xfId="14634" xr:uid="{C45978AF-0B4D-40F7-8C86-A23F653BF310}"/>
    <cellStyle name="20% - Accent5 2 2 6 4" xfId="10416" xr:uid="{F304B319-E42E-43C0-A6EC-4FBA09647FC4}"/>
    <cellStyle name="20% - Accent5 2 2 7" xfId="2298" xr:uid="{00000000-0005-0000-0000-0000A8020000}"/>
    <cellStyle name="20% - Accent5 2 2 7 2" xfId="6605" xr:uid="{00000000-0005-0000-0000-0000A9020000}"/>
    <cellStyle name="20% - Accent5 2 2 7 2 2" xfId="15047" xr:uid="{CCB8B8B3-4527-4991-8840-18F78129B4C2}"/>
    <cellStyle name="20% - Accent5 2 2 7 3" xfId="10829" xr:uid="{0831A1E6-56BE-4085-B734-3850328DAE17}"/>
    <cellStyle name="20% - Accent5 2 2 8" xfId="4539" xr:uid="{00000000-0005-0000-0000-0000AA020000}"/>
    <cellStyle name="20% - Accent5 2 2 8 2" xfId="12981" xr:uid="{4EE92E6A-6CE9-419C-B2E6-7BB497CDC0AB}"/>
    <cellStyle name="20% - Accent5 2 2 9" xfId="8763" xr:uid="{B53F866D-25A8-49A3-A2BC-878DA9805F47}"/>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FE145767-E943-4909-AA7D-5809F8530ABC}"/>
    <cellStyle name="20% - Accent5 2 3 2 2 3" xfId="11324" xr:uid="{02DE768A-360B-4A65-AA60-11E7403DA195}"/>
    <cellStyle name="20% - Accent5 2 3 2 3" xfId="4955" xr:uid="{00000000-0005-0000-0000-0000AF020000}"/>
    <cellStyle name="20% - Accent5 2 3 2 3 2" xfId="13397" xr:uid="{DBC97B3B-E50D-4C99-AA18-94D8705212F8}"/>
    <cellStyle name="20% - Accent5 2 3 2 4" xfId="9179" xr:uid="{E25108AD-E3BC-4EC2-A150-3C40DAE20BD6}"/>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7D50ACB1-87B4-4A37-8BEF-580C3BA919E8}"/>
    <cellStyle name="20% - Accent5 2 3 3 2 3" xfId="11737" xr:uid="{29AEE557-0700-4A4E-BBE8-A445C2CCBF30}"/>
    <cellStyle name="20% - Accent5 2 3 3 3" xfId="5368" xr:uid="{00000000-0005-0000-0000-0000B3020000}"/>
    <cellStyle name="20% - Accent5 2 3 3 3 2" xfId="13810" xr:uid="{ABF036D3-D4A6-4820-BCAA-959DD185C231}"/>
    <cellStyle name="20% - Accent5 2 3 3 4" xfId="9592" xr:uid="{972BA17C-EF1C-49F2-B75A-C96E02367E0B}"/>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0917973E-F81A-4EC3-8487-4E8AAFE6E13D}"/>
    <cellStyle name="20% - Accent5 2 3 4 2 3" xfId="12150" xr:uid="{7D26971A-F8C3-4084-BD26-1EE014E78730}"/>
    <cellStyle name="20% - Accent5 2 3 4 3" xfId="5781" xr:uid="{00000000-0005-0000-0000-0000B7020000}"/>
    <cellStyle name="20% - Accent5 2 3 4 3 2" xfId="14223" xr:uid="{8128F65E-3466-469C-86D7-3A34D7E4BB2A}"/>
    <cellStyle name="20% - Accent5 2 3 4 4" xfId="10005" xr:uid="{19CBDA72-257A-4D12-8309-EE40E51DC757}"/>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ACFBF2CB-AAF3-4352-9C4D-0971E1B3BB52}"/>
    <cellStyle name="20% - Accent5 2 3 5 2 3" xfId="12563" xr:uid="{B4F7FBC6-1054-4031-B966-E6556778E840}"/>
    <cellStyle name="20% - Accent5 2 3 5 3" xfId="6194" xr:uid="{00000000-0005-0000-0000-0000BB020000}"/>
    <cellStyle name="20% - Accent5 2 3 5 3 2" xfId="14636" xr:uid="{6C497AE2-C35E-46F5-9CE9-579B3552AE98}"/>
    <cellStyle name="20% - Accent5 2 3 5 4" xfId="10418" xr:uid="{BEBE2248-7FCC-404A-AC8F-BDDDE8A1904D}"/>
    <cellStyle name="20% - Accent5 2 3 6" xfId="2300" xr:uid="{00000000-0005-0000-0000-0000BC020000}"/>
    <cellStyle name="20% - Accent5 2 3 6 2" xfId="6607" xr:uid="{00000000-0005-0000-0000-0000BD020000}"/>
    <cellStyle name="20% - Accent5 2 3 6 2 2" xfId="15049" xr:uid="{9CC8818B-54CB-4DA3-A350-54354BA6488A}"/>
    <cellStyle name="20% - Accent5 2 3 6 3" xfId="10831" xr:uid="{7BD15E8A-B190-448F-B25D-803BB91529C1}"/>
    <cellStyle name="20% - Accent5 2 3 7" xfId="4541" xr:uid="{00000000-0005-0000-0000-0000BE020000}"/>
    <cellStyle name="20% - Accent5 2 3 7 2" xfId="12983" xr:uid="{0B3B0426-E3E0-4C71-ABFD-133E717BB906}"/>
    <cellStyle name="20% - Accent5 2 3 8" xfId="8765" xr:uid="{27B0E4C7-CCD4-463B-9059-B44F25D7BEDA}"/>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97FA2C42-AC30-4372-9A2E-14EC11CDD929}"/>
    <cellStyle name="20% - Accent5 2 4 2 3" xfId="11321" xr:uid="{587584EF-CA94-4E66-BF4E-BA73CE6FEDD0}"/>
    <cellStyle name="20% - Accent5 2 4 3" xfId="4952" xr:uid="{00000000-0005-0000-0000-0000C2020000}"/>
    <cellStyle name="20% - Accent5 2 4 3 2" xfId="13394" xr:uid="{734EAB43-C025-4B5C-8CEF-841F3FB063BD}"/>
    <cellStyle name="20% - Accent5 2 4 4" xfId="9176" xr:uid="{481A7FBF-7397-4567-B321-2A0532EA2C06}"/>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C91A5616-77D0-47DB-9B51-A46DC1F7AF75}"/>
    <cellStyle name="20% - Accent5 2 5 2 3" xfId="11734" xr:uid="{65596204-1658-42EF-AF98-09407CB38208}"/>
    <cellStyle name="20% - Accent5 2 5 3" xfId="5365" xr:uid="{00000000-0005-0000-0000-0000C6020000}"/>
    <cellStyle name="20% - Accent5 2 5 3 2" xfId="13807" xr:uid="{BFD74F5E-8BA3-487B-8CB0-FF74F51CD55F}"/>
    <cellStyle name="20% - Accent5 2 5 4" xfId="9589" xr:uid="{B8CD854C-22C1-4FB2-80FD-D1B341438564}"/>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8A834A6A-710B-44D9-84B2-0DBCBE9D541F}"/>
    <cellStyle name="20% - Accent5 2 6 2 3" xfId="12147" xr:uid="{42D52DFE-5ED4-4350-8FD3-7F41BD7B809B}"/>
    <cellStyle name="20% - Accent5 2 6 3" xfId="5778" xr:uid="{00000000-0005-0000-0000-0000CA020000}"/>
    <cellStyle name="20% - Accent5 2 6 3 2" xfId="14220" xr:uid="{AD555392-9522-4FB4-8FBE-BCFDE5FB86C1}"/>
    <cellStyle name="20% - Accent5 2 6 4" xfId="10002" xr:uid="{8E8E3C82-3849-4BB7-9694-B291F6A02BD2}"/>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ACCBB9CA-8D03-42FD-9700-AF7EB43BDBA5}"/>
    <cellStyle name="20% - Accent5 2 7 2 3" xfId="12560" xr:uid="{C4FB50BF-54FE-4DC9-BD33-F4D93799D7EF}"/>
    <cellStyle name="20% - Accent5 2 7 3" xfId="6191" xr:uid="{00000000-0005-0000-0000-0000CE020000}"/>
    <cellStyle name="20% - Accent5 2 7 3 2" xfId="14633" xr:uid="{D6CE4A62-1D72-417E-9C69-2A127C653761}"/>
    <cellStyle name="20% - Accent5 2 7 4" xfId="10415" xr:uid="{B76F89F9-9135-4F7A-B4C3-ADBF6C007942}"/>
    <cellStyle name="20% - Accent5 2 8" xfId="2297" xr:uid="{00000000-0005-0000-0000-0000CF020000}"/>
    <cellStyle name="20% - Accent5 2 8 2" xfId="6604" xr:uid="{00000000-0005-0000-0000-0000D0020000}"/>
    <cellStyle name="20% - Accent5 2 8 2 2" xfId="15046" xr:uid="{750BAA4B-BA77-40DB-BC8B-097B22C826D9}"/>
    <cellStyle name="20% - Accent5 2 8 3" xfId="10828" xr:uid="{EA66A3A1-CE9C-40A2-9117-67D7D2785581}"/>
    <cellStyle name="20% - Accent5 2 9" xfId="4538" xr:uid="{00000000-0005-0000-0000-0000D1020000}"/>
    <cellStyle name="20% - Accent5 2 9 2" xfId="12980" xr:uid="{06836B52-C19A-4A0D-8338-4369D890C346}"/>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13163943-0651-43A7-AA5E-CB8C178A4BB9}"/>
    <cellStyle name="20% - Accent5 3 2 2 2 3" xfId="11326" xr:uid="{E5226E93-2796-4294-B8A9-C634B3D6EC95}"/>
    <cellStyle name="20% - Accent5 3 2 2 3" xfId="4957" xr:uid="{00000000-0005-0000-0000-0000D7020000}"/>
    <cellStyle name="20% - Accent5 3 2 2 3 2" xfId="13399" xr:uid="{6A385AE2-70DD-4CEC-AF01-02313A9CA8B1}"/>
    <cellStyle name="20% - Accent5 3 2 2 4" xfId="9181" xr:uid="{F178285F-3313-4684-ACA6-A17D3DEC9EA8}"/>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24780954-08C0-4B10-8AD5-0A9EF2EDAA81}"/>
    <cellStyle name="20% - Accent5 3 2 3 2 3" xfId="11739" xr:uid="{F2A47E68-34A2-4D16-90DE-FDB4F794D2E3}"/>
    <cellStyle name="20% - Accent5 3 2 3 3" xfId="5370" xr:uid="{00000000-0005-0000-0000-0000DB020000}"/>
    <cellStyle name="20% - Accent5 3 2 3 3 2" xfId="13812" xr:uid="{4BAF7B57-DC23-494A-B584-12E8AF2FD9E2}"/>
    <cellStyle name="20% - Accent5 3 2 3 4" xfId="9594" xr:uid="{357400C0-9E0C-48B4-8291-0C418A8D373E}"/>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217032D1-7742-4465-BA81-6E81DB3DA96E}"/>
    <cellStyle name="20% - Accent5 3 2 4 2 3" xfId="12152" xr:uid="{46F7AEAC-1BE8-4BD7-9CD1-C5686F8E26AE}"/>
    <cellStyle name="20% - Accent5 3 2 4 3" xfId="5783" xr:uid="{00000000-0005-0000-0000-0000DF020000}"/>
    <cellStyle name="20% - Accent5 3 2 4 3 2" xfId="14225" xr:uid="{3493E015-8678-4CDD-9D00-9E23A30EF817}"/>
    <cellStyle name="20% - Accent5 3 2 4 4" xfId="10007" xr:uid="{54E904B3-EDDA-447B-B770-F1C5A6D5B5AC}"/>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6AC3801F-C722-4903-AD91-5FDADF6D977D}"/>
    <cellStyle name="20% - Accent5 3 2 5 2 3" xfId="12565" xr:uid="{CBFBE2C5-0742-4D90-A8D5-880E62829542}"/>
    <cellStyle name="20% - Accent5 3 2 5 3" xfId="6196" xr:uid="{00000000-0005-0000-0000-0000E3020000}"/>
    <cellStyle name="20% - Accent5 3 2 5 3 2" xfId="14638" xr:uid="{9D17E8CD-3716-4BA1-BEA8-8AB2F8F23816}"/>
    <cellStyle name="20% - Accent5 3 2 5 4" xfId="10420" xr:uid="{55759AA2-5143-48E8-AD5A-95D251FE948C}"/>
    <cellStyle name="20% - Accent5 3 2 6" xfId="2302" xr:uid="{00000000-0005-0000-0000-0000E4020000}"/>
    <cellStyle name="20% - Accent5 3 2 6 2" xfId="6609" xr:uid="{00000000-0005-0000-0000-0000E5020000}"/>
    <cellStyle name="20% - Accent5 3 2 6 2 2" xfId="15051" xr:uid="{B61A7082-128C-4D23-9DF2-6890938A878F}"/>
    <cellStyle name="20% - Accent5 3 2 6 3" xfId="10833" xr:uid="{C3253EF5-10C0-4BE1-8AB3-307D8C18F390}"/>
    <cellStyle name="20% - Accent5 3 2 7" xfId="4543" xr:uid="{00000000-0005-0000-0000-0000E6020000}"/>
    <cellStyle name="20% - Accent5 3 2 7 2" xfId="12985" xr:uid="{15C92D32-44B1-45E4-BB2F-605E14AFB124}"/>
    <cellStyle name="20% - Accent5 3 2 8" xfId="8767" xr:uid="{D4A70194-A323-4259-B4B3-8BC32AE5423D}"/>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7BD2B200-78BD-41AB-BF7B-0E5F0CB75F9F}"/>
    <cellStyle name="20% - Accent5 3 3 2 3" xfId="11325" xr:uid="{7F391FA3-110B-46D6-B5BB-8905E1CDAAA5}"/>
    <cellStyle name="20% - Accent5 3 3 3" xfId="4956" xr:uid="{00000000-0005-0000-0000-0000EA020000}"/>
    <cellStyle name="20% - Accent5 3 3 3 2" xfId="13398" xr:uid="{EF73ED57-C8DB-4C34-B510-EBCCAFA47F53}"/>
    <cellStyle name="20% - Accent5 3 3 4" xfId="9180" xr:uid="{21C89388-A863-4642-9220-54C3ED50C146}"/>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39A147EC-8885-4DA7-A114-3E665949A12E}"/>
    <cellStyle name="20% - Accent5 3 4 2 3" xfId="11738" xr:uid="{DC822BCF-BC15-4A17-9887-40FBAABAEDF7}"/>
    <cellStyle name="20% - Accent5 3 4 3" xfId="5369" xr:uid="{00000000-0005-0000-0000-0000EE020000}"/>
    <cellStyle name="20% - Accent5 3 4 3 2" xfId="13811" xr:uid="{DCFD6303-79DD-4D8D-B00F-67E7FEF84395}"/>
    <cellStyle name="20% - Accent5 3 4 4" xfId="9593" xr:uid="{29F8F5DB-40FD-4CA3-B0F3-78EA75711F9A}"/>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41CCA701-98A3-4F06-B898-D8D07A9B01B6}"/>
    <cellStyle name="20% - Accent5 3 5 2 3" xfId="12151" xr:uid="{8AE112C8-B46B-4181-8A63-7BBC75096E0E}"/>
    <cellStyle name="20% - Accent5 3 5 3" xfId="5782" xr:uid="{00000000-0005-0000-0000-0000F2020000}"/>
    <cellStyle name="20% - Accent5 3 5 3 2" xfId="14224" xr:uid="{6C55C7D3-72EB-4B9E-9DB5-01BD51376B6B}"/>
    <cellStyle name="20% - Accent5 3 5 4" xfId="10006" xr:uid="{920691A7-3E6A-4CB1-9331-174B3C43C950}"/>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EFF50BAC-C09D-4D9E-8BAF-0AC22EF3490F}"/>
    <cellStyle name="20% - Accent5 3 6 2 3" xfId="12564" xr:uid="{A3AC2CDA-81E5-49C9-921C-AAACAEAA4E7F}"/>
    <cellStyle name="20% - Accent5 3 6 3" xfId="6195" xr:uid="{00000000-0005-0000-0000-0000F6020000}"/>
    <cellStyle name="20% - Accent5 3 6 3 2" xfId="14637" xr:uid="{2B9544D9-27DF-4ECA-BA97-6302958899D8}"/>
    <cellStyle name="20% - Accent5 3 6 4" xfId="10419" xr:uid="{D8922EB2-E533-4294-A5A3-E90259FBDCAF}"/>
    <cellStyle name="20% - Accent5 3 7" xfId="2301" xr:uid="{00000000-0005-0000-0000-0000F7020000}"/>
    <cellStyle name="20% - Accent5 3 7 2" xfId="6608" xr:uid="{00000000-0005-0000-0000-0000F8020000}"/>
    <cellStyle name="20% - Accent5 3 7 2 2" xfId="15050" xr:uid="{7E4778F7-957F-4F5C-A605-24E10F620EB8}"/>
    <cellStyle name="20% - Accent5 3 7 3" xfId="10832" xr:uid="{11F62198-D208-4B64-8838-B607B9696E68}"/>
    <cellStyle name="20% - Accent5 3 8" xfId="4542" xr:uid="{00000000-0005-0000-0000-0000F9020000}"/>
    <cellStyle name="20% - Accent5 3 8 2" xfId="12984" xr:uid="{C0B49064-3615-4652-A09A-6BDA6AF3BE64}"/>
    <cellStyle name="20% - Accent5 3 9" xfId="8766" xr:uid="{29C61871-6614-4BCB-91EA-52B627BFB718}"/>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154CE3E4-7E07-4DE6-8C31-F7CA242A9137}"/>
    <cellStyle name="20% - Accent5 4 2 2 3" xfId="11327" xr:uid="{CE05278D-8D3C-4EA4-8F8B-90AAFC42FD00}"/>
    <cellStyle name="20% - Accent5 4 2 3" xfId="4958" xr:uid="{00000000-0005-0000-0000-0000FE020000}"/>
    <cellStyle name="20% - Accent5 4 2 3 2" xfId="13400" xr:uid="{5332C18C-8D34-4D2C-B3AA-A579402C66A8}"/>
    <cellStyle name="20% - Accent5 4 2 4" xfId="9182" xr:uid="{261DDA15-BDE7-4C94-9174-D43604967B40}"/>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A8E6EB3A-404B-4831-B502-2E0E6E373014}"/>
    <cellStyle name="20% - Accent5 4 3 2 3" xfId="11740" xr:uid="{B85C7F7A-3191-4D70-AC8A-B72C8CA1A3DF}"/>
    <cellStyle name="20% - Accent5 4 3 3" xfId="5371" xr:uid="{00000000-0005-0000-0000-000002030000}"/>
    <cellStyle name="20% - Accent5 4 3 3 2" xfId="13813" xr:uid="{22ABA7D2-9433-47B3-A8A6-0E55FD3935D0}"/>
    <cellStyle name="20% - Accent5 4 3 4" xfId="9595" xr:uid="{4721AFC5-C971-46B6-803D-91A0817D0D79}"/>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7F5EFF6E-6B3E-4CEC-A4DA-458A65F413A8}"/>
    <cellStyle name="20% - Accent5 4 4 2 3" xfId="12153" xr:uid="{77DA781F-6A5D-4B80-ACFB-2AA8FD50AF61}"/>
    <cellStyle name="20% - Accent5 4 4 3" xfId="5784" xr:uid="{00000000-0005-0000-0000-000006030000}"/>
    <cellStyle name="20% - Accent5 4 4 3 2" xfId="14226" xr:uid="{D488DC53-A893-4A57-9EC2-C929F6A155F2}"/>
    <cellStyle name="20% - Accent5 4 4 4" xfId="10008" xr:uid="{0CA7C666-3634-4E5C-94F3-F77340F3CAE7}"/>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7884905A-1CB0-46F4-A042-4E6FAF31AC6B}"/>
    <cellStyle name="20% - Accent5 4 5 2 3" xfId="12566" xr:uid="{5F329853-CE82-4C19-9910-FB9668B0E012}"/>
    <cellStyle name="20% - Accent5 4 5 3" xfId="6197" xr:uid="{00000000-0005-0000-0000-00000A030000}"/>
    <cellStyle name="20% - Accent5 4 5 3 2" xfId="14639" xr:uid="{6AF97BD3-2428-4880-A601-C86F7103163E}"/>
    <cellStyle name="20% - Accent5 4 5 4" xfId="10421" xr:uid="{73F58726-771A-47B3-96A2-EE08BC23FB37}"/>
    <cellStyle name="20% - Accent5 4 6" xfId="2303" xr:uid="{00000000-0005-0000-0000-00000B030000}"/>
    <cellStyle name="20% - Accent5 4 6 2" xfId="6610" xr:uid="{00000000-0005-0000-0000-00000C030000}"/>
    <cellStyle name="20% - Accent5 4 6 2 2" xfId="15052" xr:uid="{CF4CC2D4-E563-4C13-A2E7-1F836C1E81E0}"/>
    <cellStyle name="20% - Accent5 4 6 3" xfId="10834" xr:uid="{C29FD757-B486-4D96-82FA-2959DAE0FD77}"/>
    <cellStyle name="20% - Accent5 4 7" xfId="4544" xr:uid="{00000000-0005-0000-0000-00000D030000}"/>
    <cellStyle name="20% - Accent5 4 7 2" xfId="12986" xr:uid="{AF3AE892-8C6D-41DF-A1BF-DBEAE89F39CA}"/>
    <cellStyle name="20% - Accent5 4 8" xfId="8768" xr:uid="{755FCFAF-F5D6-4C88-A891-CA1BB66C346C}"/>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C18E221D-C4A1-48E2-A61C-F034378B66B6}"/>
    <cellStyle name="20% - Accent5 5 2 3" xfId="11320" xr:uid="{4B7FED3A-C7F5-4411-BF51-3D47B94029AD}"/>
    <cellStyle name="20% - Accent5 5 3" xfId="4951" xr:uid="{00000000-0005-0000-0000-000011030000}"/>
    <cellStyle name="20% - Accent5 5 3 2" xfId="13393" xr:uid="{EB90CE92-6DF3-44BF-8DAE-7D2E695C909F}"/>
    <cellStyle name="20% - Accent5 5 4" xfId="9175" xr:uid="{031ACE39-03EC-4F31-A6B0-1DCE3CAA7B89}"/>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55D40281-6CA4-4B7F-AB21-5E4905424139}"/>
    <cellStyle name="20% - Accent5 6 2 3" xfId="11733" xr:uid="{81ABC398-5842-46D8-9011-823449C8FEFB}"/>
    <cellStyle name="20% - Accent5 6 3" xfId="5364" xr:uid="{00000000-0005-0000-0000-000015030000}"/>
    <cellStyle name="20% - Accent5 6 3 2" xfId="13806" xr:uid="{8C225780-2B5B-415E-B4EE-C0E955D0634D}"/>
    <cellStyle name="20% - Accent5 6 4" xfId="9588" xr:uid="{467B4AD1-37AE-42B4-8CC3-DBC903272113}"/>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0163D01E-35B5-4FF0-BF83-7B27DB689B38}"/>
    <cellStyle name="20% - Accent5 7 2 3" xfId="12146" xr:uid="{71B12920-0ACA-4ACB-9D06-542AA0A8DC67}"/>
    <cellStyle name="20% - Accent5 7 3" xfId="5777" xr:uid="{00000000-0005-0000-0000-000019030000}"/>
    <cellStyle name="20% - Accent5 7 3 2" xfId="14219" xr:uid="{C0951F6F-8321-4B70-A024-A98E8D117776}"/>
    <cellStyle name="20% - Accent5 7 4" xfId="10001" xr:uid="{EEC7C95F-3EB1-40F0-9E58-F8137EA2FE38}"/>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24E4A2E1-78F7-4429-9CDE-7684A904262B}"/>
    <cellStyle name="20% - Accent5 8 2 3" xfId="12559" xr:uid="{E09166D8-8A25-4C53-8B80-79F1ED8F698C}"/>
    <cellStyle name="20% - Accent5 8 3" xfId="6190" xr:uid="{00000000-0005-0000-0000-00001D030000}"/>
    <cellStyle name="20% - Accent5 8 3 2" xfId="14632" xr:uid="{D00579E2-03FC-4E5F-B1BD-4E6CDFA30615}"/>
    <cellStyle name="20% - Accent5 8 4" xfId="10414" xr:uid="{2871606D-2F73-4A20-B390-601EA8F78425}"/>
    <cellStyle name="20% - Accent5 9" xfId="2296" xr:uid="{00000000-0005-0000-0000-00001E030000}"/>
    <cellStyle name="20% - Accent5 9 2" xfId="6603" xr:uid="{00000000-0005-0000-0000-00001F030000}"/>
    <cellStyle name="20% - Accent5 9 2 2" xfId="15045" xr:uid="{D820D497-DFD8-4F6B-9735-7D55602E64BC}"/>
    <cellStyle name="20% - Accent5 9 3" xfId="10827" xr:uid="{646AFD21-2857-472E-9756-7068624A824B}"/>
    <cellStyle name="20% - Accent6" xfId="41" builtinId="50" customBuiltin="1"/>
    <cellStyle name="20% - Accent6 10" xfId="4545" xr:uid="{00000000-0005-0000-0000-000021030000}"/>
    <cellStyle name="20% - Accent6 10 2" xfId="12987" xr:uid="{1E866D73-7D6E-4940-9383-146336DCDF1B}"/>
    <cellStyle name="20% - Accent6 11" xfId="8769" xr:uid="{C46F71C2-9FB0-4869-987B-8F8249C596B5}"/>
    <cellStyle name="20% - Accent6 2" xfId="42" xr:uid="{00000000-0005-0000-0000-000022030000}"/>
    <cellStyle name="20% - Accent6 2 10" xfId="8770" xr:uid="{F45E3378-22AA-4859-9B2E-C0E7E75FA491}"/>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F30234C1-3E8A-4B82-A6F5-3E4976F20CEC}"/>
    <cellStyle name="20% - Accent6 2 2 2 2 2 3" xfId="11331" xr:uid="{28B72756-9125-42F7-BFDE-C1F581E5E12A}"/>
    <cellStyle name="20% - Accent6 2 2 2 2 3" xfId="4962" xr:uid="{00000000-0005-0000-0000-000028030000}"/>
    <cellStyle name="20% - Accent6 2 2 2 2 3 2" xfId="13404" xr:uid="{555CDF2C-485D-4012-86B3-C6D9CD505D2F}"/>
    <cellStyle name="20% - Accent6 2 2 2 2 4" xfId="9186" xr:uid="{91D1D504-FDC3-43AF-AA17-7D0E655ACEFD}"/>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F841727E-E0F2-4FC4-8511-C1EA8B411DE8}"/>
    <cellStyle name="20% - Accent6 2 2 2 3 2 3" xfId="11744" xr:uid="{F536ACFF-E383-41F7-860C-450D80B47C97}"/>
    <cellStyle name="20% - Accent6 2 2 2 3 3" xfId="5375" xr:uid="{00000000-0005-0000-0000-00002C030000}"/>
    <cellStyle name="20% - Accent6 2 2 2 3 3 2" xfId="13817" xr:uid="{963381EE-CE74-469F-96D4-AB33A3272A7C}"/>
    <cellStyle name="20% - Accent6 2 2 2 3 4" xfId="9599" xr:uid="{466A8C88-24AE-478F-9196-9489C30B8D14}"/>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55371435-5865-4171-9996-D82F0ABBA7D8}"/>
    <cellStyle name="20% - Accent6 2 2 2 4 2 3" xfId="12157" xr:uid="{49A98501-2FD8-4E58-9185-CDD5CC3B9C29}"/>
    <cellStyle name="20% - Accent6 2 2 2 4 3" xfId="5788" xr:uid="{00000000-0005-0000-0000-000030030000}"/>
    <cellStyle name="20% - Accent6 2 2 2 4 3 2" xfId="14230" xr:uid="{DE53809A-FC4D-48A1-BC32-8B6A1D901B2D}"/>
    <cellStyle name="20% - Accent6 2 2 2 4 4" xfId="10012" xr:uid="{F385102B-4112-4FC5-866D-2DAE882A3D85}"/>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AAD4026E-36C8-41A9-8C78-79C284FBCB12}"/>
    <cellStyle name="20% - Accent6 2 2 2 5 2 3" xfId="12570" xr:uid="{70DE249F-B07A-4BAC-A641-268DECF6D986}"/>
    <cellStyle name="20% - Accent6 2 2 2 5 3" xfId="6201" xr:uid="{00000000-0005-0000-0000-000034030000}"/>
    <cellStyle name="20% - Accent6 2 2 2 5 3 2" xfId="14643" xr:uid="{B62E3462-3F38-4627-8CD2-22B7040D591B}"/>
    <cellStyle name="20% - Accent6 2 2 2 5 4" xfId="10425" xr:uid="{AF83FBF0-D513-454C-8574-45AFB593C632}"/>
    <cellStyle name="20% - Accent6 2 2 2 6" xfId="2307" xr:uid="{00000000-0005-0000-0000-000035030000}"/>
    <cellStyle name="20% - Accent6 2 2 2 6 2" xfId="6614" xr:uid="{00000000-0005-0000-0000-000036030000}"/>
    <cellStyle name="20% - Accent6 2 2 2 6 2 2" xfId="15056" xr:uid="{9F72927E-C0AC-45FE-9CC8-A986035241C5}"/>
    <cellStyle name="20% - Accent6 2 2 2 6 3" xfId="10838" xr:uid="{255F0947-9B97-4730-B5D0-FE75D17DF56D}"/>
    <cellStyle name="20% - Accent6 2 2 2 7" xfId="4548" xr:uid="{00000000-0005-0000-0000-000037030000}"/>
    <cellStyle name="20% - Accent6 2 2 2 7 2" xfId="12990" xr:uid="{6658E97E-3A5D-43F2-94DB-B331F5C768EC}"/>
    <cellStyle name="20% - Accent6 2 2 2 8" xfId="8772" xr:uid="{6EDE6EF0-0665-433F-80CD-CF612E56C171}"/>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2BF9D222-6B9D-4CD4-9DD9-BDEA7D7DED89}"/>
    <cellStyle name="20% - Accent6 2 2 3 2 3" xfId="11330" xr:uid="{BD367419-6370-4DD9-8839-D8D2F57303EB}"/>
    <cellStyle name="20% - Accent6 2 2 3 3" xfId="4961" xr:uid="{00000000-0005-0000-0000-00003B030000}"/>
    <cellStyle name="20% - Accent6 2 2 3 3 2" xfId="13403" xr:uid="{6E88C143-0EC0-4994-8FD1-94532A7F475D}"/>
    <cellStyle name="20% - Accent6 2 2 3 4" xfId="9185" xr:uid="{4910CEB4-39DD-4633-BBE0-8AE0426D1089}"/>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9A0583E1-9129-4E75-8F99-2F608A3BF6F0}"/>
    <cellStyle name="20% - Accent6 2 2 4 2 3" xfId="11743" xr:uid="{44E71C4F-1082-4F4C-96E5-E744AC775623}"/>
    <cellStyle name="20% - Accent6 2 2 4 3" xfId="5374" xr:uid="{00000000-0005-0000-0000-00003F030000}"/>
    <cellStyle name="20% - Accent6 2 2 4 3 2" xfId="13816" xr:uid="{342D6DC5-C81D-4806-B481-95AFC1BB7A79}"/>
    <cellStyle name="20% - Accent6 2 2 4 4" xfId="9598" xr:uid="{FD842A62-181F-4D48-9C92-F0490828E514}"/>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50B12162-078D-406A-B540-15C5AF51C26B}"/>
    <cellStyle name="20% - Accent6 2 2 5 2 3" xfId="12156" xr:uid="{2950DB77-EACB-4BB4-B46B-BEB58200058B}"/>
    <cellStyle name="20% - Accent6 2 2 5 3" xfId="5787" xr:uid="{00000000-0005-0000-0000-000043030000}"/>
    <cellStyle name="20% - Accent6 2 2 5 3 2" xfId="14229" xr:uid="{45C5E362-665A-4A97-8325-FC9C3B720A22}"/>
    <cellStyle name="20% - Accent6 2 2 5 4" xfId="10011" xr:uid="{71684962-D5D8-4F9A-9EC7-681217330CC6}"/>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38D4E102-BA79-4F2E-968C-430EE7D3EE7A}"/>
    <cellStyle name="20% - Accent6 2 2 6 2 3" xfId="12569" xr:uid="{29D107BF-18E9-4156-A356-32F2B49E173D}"/>
    <cellStyle name="20% - Accent6 2 2 6 3" xfId="6200" xr:uid="{00000000-0005-0000-0000-000047030000}"/>
    <cellStyle name="20% - Accent6 2 2 6 3 2" xfId="14642" xr:uid="{7896BF7F-A7C4-4BF0-86D8-E8900D56FFC5}"/>
    <cellStyle name="20% - Accent6 2 2 6 4" xfId="10424" xr:uid="{1324724C-94AB-4ABA-8D86-F3A7071C262C}"/>
    <cellStyle name="20% - Accent6 2 2 7" xfId="2306" xr:uid="{00000000-0005-0000-0000-000048030000}"/>
    <cellStyle name="20% - Accent6 2 2 7 2" xfId="6613" xr:uid="{00000000-0005-0000-0000-000049030000}"/>
    <cellStyle name="20% - Accent6 2 2 7 2 2" xfId="15055" xr:uid="{7AF9BF50-7A02-4647-83D4-4516E64F5917}"/>
    <cellStyle name="20% - Accent6 2 2 7 3" xfId="10837" xr:uid="{1E1DD24C-B4EC-4F42-8A61-6984936E4248}"/>
    <cellStyle name="20% - Accent6 2 2 8" xfId="4547" xr:uid="{00000000-0005-0000-0000-00004A030000}"/>
    <cellStyle name="20% - Accent6 2 2 8 2" xfId="12989" xr:uid="{9811D3F3-E585-4C48-8EE7-74C96C4C6AE5}"/>
    <cellStyle name="20% - Accent6 2 2 9" xfId="8771" xr:uid="{DF156FC1-90C3-494E-AD43-E935820B80B6}"/>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11024A46-EAAB-49F7-AA5F-9F2D9DA4C4CF}"/>
    <cellStyle name="20% - Accent6 2 3 2 2 3" xfId="11332" xr:uid="{4F9FF2BA-3216-406F-971C-1B467BC01647}"/>
    <cellStyle name="20% - Accent6 2 3 2 3" xfId="4963" xr:uid="{00000000-0005-0000-0000-00004F030000}"/>
    <cellStyle name="20% - Accent6 2 3 2 3 2" xfId="13405" xr:uid="{2090E1B1-6B13-4B1C-853C-3E70248ECE1F}"/>
    <cellStyle name="20% - Accent6 2 3 2 4" xfId="9187" xr:uid="{D7885C30-78B1-4B6A-B1F8-B8C30DC931EB}"/>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E442814A-1EED-4965-9A2E-93329AACEBC3}"/>
    <cellStyle name="20% - Accent6 2 3 3 2 3" xfId="11745" xr:uid="{5A4B9D5C-0092-4578-A060-EFFFD73A9B08}"/>
    <cellStyle name="20% - Accent6 2 3 3 3" xfId="5376" xr:uid="{00000000-0005-0000-0000-000053030000}"/>
    <cellStyle name="20% - Accent6 2 3 3 3 2" xfId="13818" xr:uid="{FF6CE337-FCC5-4C41-9BB4-00380CC0271C}"/>
    <cellStyle name="20% - Accent6 2 3 3 4" xfId="9600" xr:uid="{1266150B-BC3D-4BE2-8DD8-C1318A2B77F4}"/>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8CEDB4E9-E67C-4702-BFEB-9B7C5DF1CE77}"/>
    <cellStyle name="20% - Accent6 2 3 4 2 3" xfId="12158" xr:uid="{54FC201B-A734-4F0F-B678-BB77D4CE20F0}"/>
    <cellStyle name="20% - Accent6 2 3 4 3" xfId="5789" xr:uid="{00000000-0005-0000-0000-000057030000}"/>
    <cellStyle name="20% - Accent6 2 3 4 3 2" xfId="14231" xr:uid="{EBEFD105-48A8-4681-A025-C7189BC71E77}"/>
    <cellStyle name="20% - Accent6 2 3 4 4" xfId="10013" xr:uid="{B4009BCC-A2E1-4251-A697-25EAA7096E1B}"/>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8FF1B018-BE69-44E6-BD07-051600573711}"/>
    <cellStyle name="20% - Accent6 2 3 5 2 3" xfId="12571" xr:uid="{53ECF053-B336-4C44-AC7A-C7DE2D49E24D}"/>
    <cellStyle name="20% - Accent6 2 3 5 3" xfId="6202" xr:uid="{00000000-0005-0000-0000-00005B030000}"/>
    <cellStyle name="20% - Accent6 2 3 5 3 2" xfId="14644" xr:uid="{C492CD3F-DDCB-4576-A9C0-1C415873AC80}"/>
    <cellStyle name="20% - Accent6 2 3 5 4" xfId="10426" xr:uid="{85E1F853-5AA2-4314-8EA4-5C26DCC5EBEA}"/>
    <cellStyle name="20% - Accent6 2 3 6" xfId="2308" xr:uid="{00000000-0005-0000-0000-00005C030000}"/>
    <cellStyle name="20% - Accent6 2 3 6 2" xfId="6615" xr:uid="{00000000-0005-0000-0000-00005D030000}"/>
    <cellStyle name="20% - Accent6 2 3 6 2 2" xfId="15057" xr:uid="{31E93590-86F7-4D9F-A5A6-BE7560BE7F36}"/>
    <cellStyle name="20% - Accent6 2 3 6 3" xfId="10839" xr:uid="{6D34B4FB-75D6-47BA-BB67-E875E32EED67}"/>
    <cellStyle name="20% - Accent6 2 3 7" xfId="4549" xr:uid="{00000000-0005-0000-0000-00005E030000}"/>
    <cellStyle name="20% - Accent6 2 3 7 2" xfId="12991" xr:uid="{6CF4FA95-06F9-49FD-A881-2E708834032B}"/>
    <cellStyle name="20% - Accent6 2 3 8" xfId="8773" xr:uid="{635D2612-0F35-4AE6-98EE-C6D999475B6C}"/>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365192C5-BAF2-4650-997E-37DF50D524E0}"/>
    <cellStyle name="20% - Accent6 2 4 2 3" xfId="11329" xr:uid="{96E30F56-9207-46C2-BD56-3290DE9F0FAF}"/>
    <cellStyle name="20% - Accent6 2 4 3" xfId="4960" xr:uid="{00000000-0005-0000-0000-000062030000}"/>
    <cellStyle name="20% - Accent6 2 4 3 2" xfId="13402" xr:uid="{9E4B02A7-5691-4CDE-88B2-3698321D3F14}"/>
    <cellStyle name="20% - Accent6 2 4 4" xfId="9184" xr:uid="{5CC55A8F-5128-4101-BCBE-150B9A90DBB7}"/>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4B873CE0-2D34-4C00-A5F4-887F4BD33F16}"/>
    <cellStyle name="20% - Accent6 2 5 2 3" xfId="11742" xr:uid="{66CE5067-4F63-4D1C-BE02-021DBDF08308}"/>
    <cellStyle name="20% - Accent6 2 5 3" xfId="5373" xr:uid="{00000000-0005-0000-0000-000066030000}"/>
    <cellStyle name="20% - Accent6 2 5 3 2" xfId="13815" xr:uid="{F781C886-E07B-4DFE-8EB4-1048DAD90945}"/>
    <cellStyle name="20% - Accent6 2 5 4" xfId="9597" xr:uid="{D370FF81-F11D-4332-A02A-95B6FCE84EE0}"/>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2D465620-6F10-4249-B110-D5EA1FE9FDEB}"/>
    <cellStyle name="20% - Accent6 2 6 2 3" xfId="12155" xr:uid="{81E55744-0BA4-47AC-8525-2330662B7F72}"/>
    <cellStyle name="20% - Accent6 2 6 3" xfId="5786" xr:uid="{00000000-0005-0000-0000-00006A030000}"/>
    <cellStyle name="20% - Accent6 2 6 3 2" xfId="14228" xr:uid="{80B4155B-8B0C-4219-A406-4D2F71B52180}"/>
    <cellStyle name="20% - Accent6 2 6 4" xfId="10010" xr:uid="{24A212AF-0FF1-417C-8592-143795859A88}"/>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3FFDB4D1-C91D-4B20-8837-E5AB4AE9AEA2}"/>
    <cellStyle name="20% - Accent6 2 7 2 3" xfId="12568" xr:uid="{1AE4756C-1440-450E-8859-A7F211693BD8}"/>
    <cellStyle name="20% - Accent6 2 7 3" xfId="6199" xr:uid="{00000000-0005-0000-0000-00006E030000}"/>
    <cellStyle name="20% - Accent6 2 7 3 2" xfId="14641" xr:uid="{0477868A-5FAF-45B6-B457-21C8901971A8}"/>
    <cellStyle name="20% - Accent6 2 7 4" xfId="10423" xr:uid="{6A1B358E-CE5D-413C-A3AF-D329DAF423D5}"/>
    <cellStyle name="20% - Accent6 2 8" xfId="2305" xr:uid="{00000000-0005-0000-0000-00006F030000}"/>
    <cellStyle name="20% - Accent6 2 8 2" xfId="6612" xr:uid="{00000000-0005-0000-0000-000070030000}"/>
    <cellStyle name="20% - Accent6 2 8 2 2" xfId="15054" xr:uid="{6C09E2B5-5C78-41F0-B44C-0BA5DFDC4D1F}"/>
    <cellStyle name="20% - Accent6 2 8 3" xfId="10836" xr:uid="{2B60A5CB-3A2F-4AA9-89D9-A20375102DD1}"/>
    <cellStyle name="20% - Accent6 2 9" xfId="4546" xr:uid="{00000000-0005-0000-0000-000071030000}"/>
    <cellStyle name="20% - Accent6 2 9 2" xfId="12988" xr:uid="{C11272B8-840A-4181-A860-DB197EAD209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7C888E2B-7BBB-4725-81F8-E72BD5472D13}"/>
    <cellStyle name="20% - Accent6 3 2 2 2 3" xfId="11334" xr:uid="{9E80C014-078F-4A2A-81C1-1BC935629B4E}"/>
    <cellStyle name="20% - Accent6 3 2 2 3" xfId="4965" xr:uid="{00000000-0005-0000-0000-000077030000}"/>
    <cellStyle name="20% - Accent6 3 2 2 3 2" xfId="13407" xr:uid="{7552DB65-D4FF-4EC6-9E95-A38DBE641DB5}"/>
    <cellStyle name="20% - Accent6 3 2 2 4" xfId="9189" xr:uid="{FF8205D1-3843-4AD4-B542-B9F1DC99B2E5}"/>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E073DE3B-D122-4B49-8807-AAC3DA077E2A}"/>
    <cellStyle name="20% - Accent6 3 2 3 2 3" xfId="11747" xr:uid="{A8A273FA-0B49-49C1-8874-E716A0255048}"/>
    <cellStyle name="20% - Accent6 3 2 3 3" xfId="5378" xr:uid="{00000000-0005-0000-0000-00007B030000}"/>
    <cellStyle name="20% - Accent6 3 2 3 3 2" xfId="13820" xr:uid="{3B84E99A-CA35-4222-885E-8982490AF671}"/>
    <cellStyle name="20% - Accent6 3 2 3 4" xfId="9602" xr:uid="{9E343719-12F5-40FB-868B-DADF2AC272B9}"/>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B4F587FF-EB4B-48C4-8893-7ABAFCD50AB8}"/>
    <cellStyle name="20% - Accent6 3 2 4 2 3" xfId="12160" xr:uid="{B39E62C9-D7D9-461D-AE36-39853CACA650}"/>
    <cellStyle name="20% - Accent6 3 2 4 3" xfId="5791" xr:uid="{00000000-0005-0000-0000-00007F030000}"/>
    <cellStyle name="20% - Accent6 3 2 4 3 2" xfId="14233" xr:uid="{3E96E42C-A268-4C4F-A85F-2F61A08BC623}"/>
    <cellStyle name="20% - Accent6 3 2 4 4" xfId="10015" xr:uid="{7CBCFC09-E870-46A8-8503-5DA26445927C}"/>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799C41A7-7BD5-46EA-B630-CC647265A7B2}"/>
    <cellStyle name="20% - Accent6 3 2 5 2 3" xfId="12573" xr:uid="{FEAC10A3-97E4-4AD8-A2E8-25414E636B5A}"/>
    <cellStyle name="20% - Accent6 3 2 5 3" xfId="6204" xr:uid="{00000000-0005-0000-0000-000083030000}"/>
    <cellStyle name="20% - Accent6 3 2 5 3 2" xfId="14646" xr:uid="{D53AB8B0-188A-43DD-B60C-1497EEC9BDB7}"/>
    <cellStyle name="20% - Accent6 3 2 5 4" xfId="10428" xr:uid="{7B3A88DB-4306-4418-B8AE-A2F1C19D2AA3}"/>
    <cellStyle name="20% - Accent6 3 2 6" xfId="2310" xr:uid="{00000000-0005-0000-0000-000084030000}"/>
    <cellStyle name="20% - Accent6 3 2 6 2" xfId="6617" xr:uid="{00000000-0005-0000-0000-000085030000}"/>
    <cellStyle name="20% - Accent6 3 2 6 2 2" xfId="15059" xr:uid="{EEDE6B86-E5CB-4765-87C0-8FEB81B15391}"/>
    <cellStyle name="20% - Accent6 3 2 6 3" xfId="10841" xr:uid="{EF2AEC5A-ADD2-4A57-81C2-84260926588D}"/>
    <cellStyle name="20% - Accent6 3 2 7" xfId="4551" xr:uid="{00000000-0005-0000-0000-000086030000}"/>
    <cellStyle name="20% - Accent6 3 2 7 2" xfId="12993" xr:uid="{C7705C68-1F98-43D0-B151-FEAB732098B8}"/>
    <cellStyle name="20% - Accent6 3 2 8" xfId="8775" xr:uid="{86AB8829-A56A-42CC-90B6-58BBB2FB062A}"/>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5D59BE85-DF54-4353-8341-0AD034E34ABB}"/>
    <cellStyle name="20% - Accent6 3 3 2 3" xfId="11333" xr:uid="{B8E5D5E5-E474-49E8-8FD6-758343D03F22}"/>
    <cellStyle name="20% - Accent6 3 3 3" xfId="4964" xr:uid="{00000000-0005-0000-0000-00008A030000}"/>
    <cellStyle name="20% - Accent6 3 3 3 2" xfId="13406" xr:uid="{FD8FCEEE-22CA-409F-94AD-52B99D1FA811}"/>
    <cellStyle name="20% - Accent6 3 3 4" xfId="9188" xr:uid="{F96224F9-38C5-4657-9CDF-B21EF7AB7B72}"/>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F82E7AFA-515E-447A-8C3C-B3826758B074}"/>
    <cellStyle name="20% - Accent6 3 4 2 3" xfId="11746" xr:uid="{8C7229AE-7657-4675-BFC7-3ACBD731B065}"/>
    <cellStyle name="20% - Accent6 3 4 3" xfId="5377" xr:uid="{00000000-0005-0000-0000-00008E030000}"/>
    <cellStyle name="20% - Accent6 3 4 3 2" xfId="13819" xr:uid="{73975B1C-9EDB-470A-8331-861D3B0484D5}"/>
    <cellStyle name="20% - Accent6 3 4 4" xfId="9601" xr:uid="{D1FB415E-949C-47A5-8131-7312F69B92B6}"/>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0E44CD34-9479-47CC-890B-6307881C5991}"/>
    <cellStyle name="20% - Accent6 3 5 2 3" xfId="12159" xr:uid="{F4E2DF82-E1CA-4996-8A77-83AEA149078E}"/>
    <cellStyle name="20% - Accent6 3 5 3" xfId="5790" xr:uid="{00000000-0005-0000-0000-000092030000}"/>
    <cellStyle name="20% - Accent6 3 5 3 2" xfId="14232" xr:uid="{10C6240D-3D39-4722-A8DD-971BDC502EB1}"/>
    <cellStyle name="20% - Accent6 3 5 4" xfId="10014" xr:uid="{EF8197D7-4885-4408-945A-92A13966DE86}"/>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7FBC666A-0A99-4788-B6AC-882975197E07}"/>
    <cellStyle name="20% - Accent6 3 6 2 3" xfId="12572" xr:uid="{F72D46ED-5A21-4752-A286-2BBF3B78E408}"/>
    <cellStyle name="20% - Accent6 3 6 3" xfId="6203" xr:uid="{00000000-0005-0000-0000-000096030000}"/>
    <cellStyle name="20% - Accent6 3 6 3 2" xfId="14645" xr:uid="{36578D64-7E6F-4722-9E87-59C1FE3015E4}"/>
    <cellStyle name="20% - Accent6 3 6 4" xfId="10427" xr:uid="{940BB69C-2FA3-4DA0-9D80-CA52C039B124}"/>
    <cellStyle name="20% - Accent6 3 7" xfId="2309" xr:uid="{00000000-0005-0000-0000-000097030000}"/>
    <cellStyle name="20% - Accent6 3 7 2" xfId="6616" xr:uid="{00000000-0005-0000-0000-000098030000}"/>
    <cellStyle name="20% - Accent6 3 7 2 2" xfId="15058" xr:uid="{A263EA10-AB41-4328-94C5-5313072D8AAD}"/>
    <cellStyle name="20% - Accent6 3 7 3" xfId="10840" xr:uid="{DF9E9194-B3D1-430C-B3DD-F782BAA4EA49}"/>
    <cellStyle name="20% - Accent6 3 8" xfId="4550" xr:uid="{00000000-0005-0000-0000-000099030000}"/>
    <cellStyle name="20% - Accent6 3 8 2" xfId="12992" xr:uid="{2EE7B745-AD61-4CFA-95E6-ABF8701CB1A0}"/>
    <cellStyle name="20% - Accent6 3 9" xfId="8774" xr:uid="{FF41B926-7244-4167-8E3F-1A903F6AAF6D}"/>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4D001471-C53D-42C4-890B-9A5824A84611}"/>
    <cellStyle name="20% - Accent6 4 2 2 3" xfId="11335" xr:uid="{93AEA404-48A1-4972-8184-02A9E70ED5DE}"/>
    <cellStyle name="20% - Accent6 4 2 3" xfId="4966" xr:uid="{00000000-0005-0000-0000-00009E030000}"/>
    <cellStyle name="20% - Accent6 4 2 3 2" xfId="13408" xr:uid="{BA0F452C-DD35-4216-A516-3DC354961D8E}"/>
    <cellStyle name="20% - Accent6 4 2 4" xfId="9190" xr:uid="{BF17283A-0C90-4A3C-8695-8E805EAC3925}"/>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247E7D83-54C2-4B41-BF24-E77D5453FCAA}"/>
    <cellStyle name="20% - Accent6 4 3 2 3" xfId="11748" xr:uid="{41D72E6E-A75C-4B3E-8B7F-E48EEE65701C}"/>
    <cellStyle name="20% - Accent6 4 3 3" xfId="5379" xr:uid="{00000000-0005-0000-0000-0000A2030000}"/>
    <cellStyle name="20% - Accent6 4 3 3 2" xfId="13821" xr:uid="{6122D86D-2BCA-4A91-B42F-D387D008D3BF}"/>
    <cellStyle name="20% - Accent6 4 3 4" xfId="9603" xr:uid="{29F402D7-E231-4628-9A5B-F3B5C708C052}"/>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116710B2-3523-4D4F-9E0E-B9ACD5976E3F}"/>
    <cellStyle name="20% - Accent6 4 4 2 3" xfId="12161" xr:uid="{4AAEB8F3-D9F0-4F1C-A5EC-5D5993A6EF02}"/>
    <cellStyle name="20% - Accent6 4 4 3" xfId="5792" xr:uid="{00000000-0005-0000-0000-0000A6030000}"/>
    <cellStyle name="20% - Accent6 4 4 3 2" xfId="14234" xr:uid="{6D139037-254B-4801-8259-D8E65C736F4A}"/>
    <cellStyle name="20% - Accent6 4 4 4" xfId="10016" xr:uid="{765C8695-1592-4CF1-AA54-5C3B565363AF}"/>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6ADD5BB6-996C-4E39-B272-AB9E4461E7B8}"/>
    <cellStyle name="20% - Accent6 4 5 2 3" xfId="12574" xr:uid="{B460B8CA-5BF1-4C10-AA3B-C2F65B45B943}"/>
    <cellStyle name="20% - Accent6 4 5 3" xfId="6205" xr:uid="{00000000-0005-0000-0000-0000AA030000}"/>
    <cellStyle name="20% - Accent6 4 5 3 2" xfId="14647" xr:uid="{6B6D7923-BE45-4734-BDCF-A54368AAD63C}"/>
    <cellStyle name="20% - Accent6 4 5 4" xfId="10429" xr:uid="{81962BA3-D3D5-4586-87DC-9E4EC3E175D8}"/>
    <cellStyle name="20% - Accent6 4 6" xfId="2311" xr:uid="{00000000-0005-0000-0000-0000AB030000}"/>
    <cellStyle name="20% - Accent6 4 6 2" xfId="6618" xr:uid="{00000000-0005-0000-0000-0000AC030000}"/>
    <cellStyle name="20% - Accent6 4 6 2 2" xfId="15060" xr:uid="{52B9DADC-C767-477A-9AA7-6036B560AE32}"/>
    <cellStyle name="20% - Accent6 4 6 3" xfId="10842" xr:uid="{B2BC0BA8-4214-414A-8E9F-F69A538A44A0}"/>
    <cellStyle name="20% - Accent6 4 7" xfId="4552" xr:uid="{00000000-0005-0000-0000-0000AD030000}"/>
    <cellStyle name="20% - Accent6 4 7 2" xfId="12994" xr:uid="{AAA6BD15-AB22-4B92-A39A-C3633F9C4030}"/>
    <cellStyle name="20% - Accent6 4 8" xfId="8776" xr:uid="{68CD81FF-C86C-4BCE-B0FA-F6B69B60F880}"/>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92F4793B-A1AD-4DDD-A118-87B0EE9CA5EC}"/>
    <cellStyle name="20% - Accent6 5 2 3" xfId="11328" xr:uid="{E7C42784-CC87-47CA-8538-CCBE2ED64328}"/>
    <cellStyle name="20% - Accent6 5 3" xfId="4959" xr:uid="{00000000-0005-0000-0000-0000B1030000}"/>
    <cellStyle name="20% - Accent6 5 3 2" xfId="13401" xr:uid="{15521AE5-513B-4E5F-A06E-3417DAAA3A50}"/>
    <cellStyle name="20% - Accent6 5 4" xfId="9183" xr:uid="{20D6B0F2-13C0-4156-BD32-45E0D9CFAF83}"/>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DD7EB220-325C-4AEE-A35C-187B336B3A6E}"/>
    <cellStyle name="20% - Accent6 6 2 3" xfId="11741" xr:uid="{0C824770-CC7A-4B01-8397-7D2E4796502D}"/>
    <cellStyle name="20% - Accent6 6 3" xfId="5372" xr:uid="{00000000-0005-0000-0000-0000B5030000}"/>
    <cellStyle name="20% - Accent6 6 3 2" xfId="13814" xr:uid="{11A1DBCD-9A35-4AF7-99AC-BD2DFFE03370}"/>
    <cellStyle name="20% - Accent6 6 4" xfId="9596" xr:uid="{9BF7B158-8175-45D4-A115-4FC20A90D64E}"/>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AD86002E-FB55-4734-AC3E-F18B42269B42}"/>
    <cellStyle name="20% - Accent6 7 2 3" xfId="12154" xr:uid="{6E115C56-7232-425C-A46B-D062E42106F1}"/>
    <cellStyle name="20% - Accent6 7 3" xfId="5785" xr:uid="{00000000-0005-0000-0000-0000B9030000}"/>
    <cellStyle name="20% - Accent6 7 3 2" xfId="14227" xr:uid="{600E3D52-3572-412E-B208-AFC900E0BC4B}"/>
    <cellStyle name="20% - Accent6 7 4" xfId="10009" xr:uid="{8C861F14-EC99-4217-B87D-362F95FC5D99}"/>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1EF3D751-AF10-4F5E-B7CB-83C89AC29D62}"/>
    <cellStyle name="20% - Accent6 8 2 3" xfId="12567" xr:uid="{22F8C17C-B27C-4B8A-8737-4FAA1638C3FA}"/>
    <cellStyle name="20% - Accent6 8 3" xfId="6198" xr:uid="{00000000-0005-0000-0000-0000BD030000}"/>
    <cellStyle name="20% - Accent6 8 3 2" xfId="14640" xr:uid="{8BCECC2B-1D62-4730-97E0-4F6124A62CEE}"/>
    <cellStyle name="20% - Accent6 8 4" xfId="10422" xr:uid="{35A6A111-A656-427D-902B-7E2C222377B1}"/>
    <cellStyle name="20% - Accent6 9" xfId="2304" xr:uid="{00000000-0005-0000-0000-0000BE030000}"/>
    <cellStyle name="20% - Accent6 9 2" xfId="6611" xr:uid="{00000000-0005-0000-0000-0000BF030000}"/>
    <cellStyle name="20% - Accent6 9 2 2" xfId="15053" xr:uid="{2DEACBAE-12AA-44FC-A6A1-7434529269E9}"/>
    <cellStyle name="20% - Accent6 9 3" xfId="10835" xr:uid="{8D8A2460-C886-4E89-AAC5-D125F4338C1F}"/>
    <cellStyle name="40% - Accent1" xfId="49" builtinId="31" customBuiltin="1"/>
    <cellStyle name="40% - Accent1 10" xfId="4553" xr:uid="{00000000-0005-0000-0000-0000C1030000}"/>
    <cellStyle name="40% - Accent1 10 2" xfId="12995" xr:uid="{218DD2C9-E461-44D4-B4BA-D1BA61C7BD44}"/>
    <cellStyle name="40% - Accent1 11" xfId="8777" xr:uid="{6654ED18-DB52-40E7-8CA5-9F5CBCA099B1}"/>
    <cellStyle name="40% - Accent1 2" xfId="50" xr:uid="{00000000-0005-0000-0000-0000C2030000}"/>
    <cellStyle name="40% - Accent1 2 10" xfId="8778" xr:uid="{A04E98C1-3D13-4027-9D6A-07A96549B4C1}"/>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66DE8C87-8489-47B3-92A9-00121443C6D4}"/>
    <cellStyle name="40% - Accent1 2 2 2 2 2 3" xfId="11339" xr:uid="{A5C6E509-DEDA-4CCB-ACD9-5A2AE131E7BE}"/>
    <cellStyle name="40% - Accent1 2 2 2 2 3" xfId="4970" xr:uid="{00000000-0005-0000-0000-0000C8030000}"/>
    <cellStyle name="40% - Accent1 2 2 2 2 3 2" xfId="13412" xr:uid="{85A004A8-50DD-4C8B-B636-1DD77339C185}"/>
    <cellStyle name="40% - Accent1 2 2 2 2 4" xfId="9194" xr:uid="{2608B956-A541-4EBA-9CFB-CEDF5B9203C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F233DA11-7FF3-41D1-9155-75BEA109BC5F}"/>
    <cellStyle name="40% - Accent1 2 2 2 3 2 3" xfId="11752" xr:uid="{52E19212-2237-4AD7-B21E-3623753FFE4E}"/>
    <cellStyle name="40% - Accent1 2 2 2 3 3" xfId="5383" xr:uid="{00000000-0005-0000-0000-0000CC030000}"/>
    <cellStyle name="40% - Accent1 2 2 2 3 3 2" xfId="13825" xr:uid="{87569069-A9A9-4219-AC6C-18A1777E1FF9}"/>
    <cellStyle name="40% - Accent1 2 2 2 3 4" xfId="9607" xr:uid="{A73E16C0-A03A-413F-9AE6-9DA64CC8904E}"/>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D205039D-B580-4140-BF4E-8E97FB6E9F66}"/>
    <cellStyle name="40% - Accent1 2 2 2 4 2 3" xfId="12165" xr:uid="{0DC7170F-F5F9-4924-B851-01DABDB2DCDA}"/>
    <cellStyle name="40% - Accent1 2 2 2 4 3" xfId="5796" xr:uid="{00000000-0005-0000-0000-0000D0030000}"/>
    <cellStyle name="40% - Accent1 2 2 2 4 3 2" xfId="14238" xr:uid="{B880F2B3-CCCE-4BFC-A53C-954D6032345D}"/>
    <cellStyle name="40% - Accent1 2 2 2 4 4" xfId="10020" xr:uid="{02BD45B0-0817-42C9-82AB-0C288687BC27}"/>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44DDE3F8-CAAD-46CA-86D6-790130E30940}"/>
    <cellStyle name="40% - Accent1 2 2 2 5 2 3" xfId="12578" xr:uid="{F54A3DF5-3453-4B30-9794-57B585961818}"/>
    <cellStyle name="40% - Accent1 2 2 2 5 3" xfId="6209" xr:uid="{00000000-0005-0000-0000-0000D4030000}"/>
    <cellStyle name="40% - Accent1 2 2 2 5 3 2" xfId="14651" xr:uid="{A29E647A-7C85-4413-9EBE-E415804B28E4}"/>
    <cellStyle name="40% - Accent1 2 2 2 5 4" xfId="10433" xr:uid="{D45F3100-FB66-4155-AB88-0DC9D7CC5A5E}"/>
    <cellStyle name="40% - Accent1 2 2 2 6" xfId="2315" xr:uid="{00000000-0005-0000-0000-0000D5030000}"/>
    <cellStyle name="40% - Accent1 2 2 2 6 2" xfId="6622" xr:uid="{00000000-0005-0000-0000-0000D6030000}"/>
    <cellStyle name="40% - Accent1 2 2 2 6 2 2" xfId="15064" xr:uid="{8D469A70-9FB2-426B-9FF0-9D9DD75D03BD}"/>
    <cellStyle name="40% - Accent1 2 2 2 6 3" xfId="10846" xr:uid="{7DAA7748-218A-4E77-BD6A-EAB0DDB6F0B0}"/>
    <cellStyle name="40% - Accent1 2 2 2 7" xfId="4556" xr:uid="{00000000-0005-0000-0000-0000D7030000}"/>
    <cellStyle name="40% - Accent1 2 2 2 7 2" xfId="12998" xr:uid="{9824ECB7-2D26-4370-B704-F7539B6D557C}"/>
    <cellStyle name="40% - Accent1 2 2 2 8" xfId="8780" xr:uid="{3824105A-6B02-4DAD-AD92-3D6620327CD2}"/>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021ED981-00C5-4986-8A90-D7345FC37B1E}"/>
    <cellStyle name="40% - Accent1 2 2 3 2 3" xfId="11338" xr:uid="{3C9EE3B1-FB15-4CBF-BF98-839A69EE6A49}"/>
    <cellStyle name="40% - Accent1 2 2 3 3" xfId="4969" xr:uid="{00000000-0005-0000-0000-0000DB030000}"/>
    <cellStyle name="40% - Accent1 2 2 3 3 2" xfId="13411" xr:uid="{F3736A78-409A-47ED-8BDB-8B684F3C8269}"/>
    <cellStyle name="40% - Accent1 2 2 3 4" xfId="9193" xr:uid="{2DB6CDF0-EFBF-46F7-A75F-82BB6045195C}"/>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2FF911A6-E597-4A21-9ACF-B097D55B4BA2}"/>
    <cellStyle name="40% - Accent1 2 2 4 2 3" xfId="11751" xr:uid="{3FD3E6D8-A445-47AE-B1B5-277CA80A91E3}"/>
    <cellStyle name="40% - Accent1 2 2 4 3" xfId="5382" xr:uid="{00000000-0005-0000-0000-0000DF030000}"/>
    <cellStyle name="40% - Accent1 2 2 4 3 2" xfId="13824" xr:uid="{7E255814-EAEE-4E9E-B200-A3507680C6AA}"/>
    <cellStyle name="40% - Accent1 2 2 4 4" xfId="9606" xr:uid="{6375D736-0E90-4D9A-AA04-44D21AF7C23A}"/>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6038399F-D567-41CA-8CA2-1901F04DBD55}"/>
    <cellStyle name="40% - Accent1 2 2 5 2 3" xfId="12164" xr:uid="{A9647CDC-F6F4-4CA5-AF65-2D7344759557}"/>
    <cellStyle name="40% - Accent1 2 2 5 3" xfId="5795" xr:uid="{00000000-0005-0000-0000-0000E3030000}"/>
    <cellStyle name="40% - Accent1 2 2 5 3 2" xfId="14237" xr:uid="{F2FB1524-148D-4F66-8A47-36A1C25E6794}"/>
    <cellStyle name="40% - Accent1 2 2 5 4" xfId="10019" xr:uid="{77C5CED5-1CBB-4986-893B-60000FBC515F}"/>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C1031274-08CE-496B-A345-E5516C2429EC}"/>
    <cellStyle name="40% - Accent1 2 2 6 2 3" xfId="12577" xr:uid="{A39C1098-0C40-45BE-B06C-BF462A01F866}"/>
    <cellStyle name="40% - Accent1 2 2 6 3" xfId="6208" xr:uid="{00000000-0005-0000-0000-0000E7030000}"/>
    <cellStyle name="40% - Accent1 2 2 6 3 2" xfId="14650" xr:uid="{BD72984A-9BFB-46A0-BCAC-54C4E19E01CE}"/>
    <cellStyle name="40% - Accent1 2 2 6 4" xfId="10432" xr:uid="{8C706751-BEB9-4C84-9897-47C685A726E9}"/>
    <cellStyle name="40% - Accent1 2 2 7" xfId="2314" xr:uid="{00000000-0005-0000-0000-0000E8030000}"/>
    <cellStyle name="40% - Accent1 2 2 7 2" xfId="6621" xr:uid="{00000000-0005-0000-0000-0000E9030000}"/>
    <cellStyle name="40% - Accent1 2 2 7 2 2" xfId="15063" xr:uid="{85C88150-BC76-423E-A3C6-3AC837AB15E6}"/>
    <cellStyle name="40% - Accent1 2 2 7 3" xfId="10845" xr:uid="{6F2BBFA7-56D2-4923-96E5-0DE061C3589D}"/>
    <cellStyle name="40% - Accent1 2 2 8" xfId="4555" xr:uid="{00000000-0005-0000-0000-0000EA030000}"/>
    <cellStyle name="40% - Accent1 2 2 8 2" xfId="12997" xr:uid="{E40657AC-3225-41A6-94AF-20E5F9E2CBCB}"/>
    <cellStyle name="40% - Accent1 2 2 9" xfId="8779" xr:uid="{37DDBE4B-F2B3-434F-993D-66D10FDE23ED}"/>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BFDE577F-5D95-49BB-9A17-75D2712F45C3}"/>
    <cellStyle name="40% - Accent1 2 3 2 2 3" xfId="11340" xr:uid="{BDACF0D3-E575-47BA-B2D4-91EA54218D99}"/>
    <cellStyle name="40% - Accent1 2 3 2 3" xfId="4971" xr:uid="{00000000-0005-0000-0000-0000EF030000}"/>
    <cellStyle name="40% - Accent1 2 3 2 3 2" xfId="13413" xr:uid="{41D739AC-7A13-4019-98DC-11D06F935880}"/>
    <cellStyle name="40% - Accent1 2 3 2 4" xfId="9195" xr:uid="{F23CEADD-3EBE-4559-AAC8-F4C8235B2232}"/>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A8088FA9-CD78-49C0-8590-82FD15A5F568}"/>
    <cellStyle name="40% - Accent1 2 3 3 2 3" xfId="11753" xr:uid="{C680896A-9388-44E0-AB23-68111C57B890}"/>
    <cellStyle name="40% - Accent1 2 3 3 3" xfId="5384" xr:uid="{00000000-0005-0000-0000-0000F3030000}"/>
    <cellStyle name="40% - Accent1 2 3 3 3 2" xfId="13826" xr:uid="{6D0ECF94-081E-478E-AAA6-8F52D684F902}"/>
    <cellStyle name="40% - Accent1 2 3 3 4" xfId="9608" xr:uid="{076F90FA-D39E-4B1B-A1CF-B9F4EAF1D315}"/>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B98CED4E-2611-4834-880E-54B7E1C3029A}"/>
    <cellStyle name="40% - Accent1 2 3 4 2 3" xfId="12166" xr:uid="{B1A94138-8D74-465F-85E7-AB24F04C6107}"/>
    <cellStyle name="40% - Accent1 2 3 4 3" xfId="5797" xr:uid="{00000000-0005-0000-0000-0000F7030000}"/>
    <cellStyle name="40% - Accent1 2 3 4 3 2" xfId="14239" xr:uid="{5279868C-9CE7-40FB-B224-1F0F39128346}"/>
    <cellStyle name="40% - Accent1 2 3 4 4" xfId="10021" xr:uid="{5B763378-A857-4637-ABEE-E4C88FC641AA}"/>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1CE5C125-14CB-4A5C-9E14-F3CB02538EDB}"/>
    <cellStyle name="40% - Accent1 2 3 5 2 3" xfId="12579" xr:uid="{4E2A07D4-58A4-4268-A8CF-34D41B2AABA3}"/>
    <cellStyle name="40% - Accent1 2 3 5 3" xfId="6210" xr:uid="{00000000-0005-0000-0000-0000FB030000}"/>
    <cellStyle name="40% - Accent1 2 3 5 3 2" xfId="14652" xr:uid="{B97B3C34-E067-431F-8C99-E9BCB7C7918C}"/>
    <cellStyle name="40% - Accent1 2 3 5 4" xfId="10434" xr:uid="{73B96CB5-76AF-4D2E-9AF1-2D4D54F004AD}"/>
    <cellStyle name="40% - Accent1 2 3 6" xfId="2316" xr:uid="{00000000-0005-0000-0000-0000FC030000}"/>
    <cellStyle name="40% - Accent1 2 3 6 2" xfId="6623" xr:uid="{00000000-0005-0000-0000-0000FD030000}"/>
    <cellStyle name="40% - Accent1 2 3 6 2 2" xfId="15065" xr:uid="{75A5B327-061C-4431-88E4-B51673F9B7BF}"/>
    <cellStyle name="40% - Accent1 2 3 6 3" xfId="10847" xr:uid="{051BEB2C-DF9F-46E5-9F00-8010EF56A020}"/>
    <cellStyle name="40% - Accent1 2 3 7" xfId="4557" xr:uid="{00000000-0005-0000-0000-0000FE030000}"/>
    <cellStyle name="40% - Accent1 2 3 7 2" xfId="12999" xr:uid="{917B8DEA-192B-4915-99A6-6144E325CA07}"/>
    <cellStyle name="40% - Accent1 2 3 8" xfId="8781" xr:uid="{446C2AF2-6A99-48DE-8F09-83FA43566A70}"/>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37AF5182-92CC-41E6-B44D-00B736BE3594}"/>
    <cellStyle name="40% - Accent1 2 4 2 3" xfId="11337" xr:uid="{993C7420-FA4B-4EAA-9929-9960DAFC23F3}"/>
    <cellStyle name="40% - Accent1 2 4 3" xfId="4968" xr:uid="{00000000-0005-0000-0000-000002040000}"/>
    <cellStyle name="40% - Accent1 2 4 3 2" xfId="13410" xr:uid="{8EC383D2-82E5-4A8C-B0CA-9A26D0658BC5}"/>
    <cellStyle name="40% - Accent1 2 4 4" xfId="9192" xr:uid="{B84E2DCB-56C3-41AF-918F-568C6A4133AD}"/>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EDBB9021-D34B-4E1C-B38E-69DEE71C44BE}"/>
    <cellStyle name="40% - Accent1 2 5 2 3" xfId="11750" xr:uid="{CD5FA609-BDF6-4D02-8BA5-F87343D56073}"/>
    <cellStyle name="40% - Accent1 2 5 3" xfId="5381" xr:uid="{00000000-0005-0000-0000-000006040000}"/>
    <cellStyle name="40% - Accent1 2 5 3 2" xfId="13823" xr:uid="{D67CF20C-0552-4729-91C0-3DEB28A8E092}"/>
    <cellStyle name="40% - Accent1 2 5 4" xfId="9605" xr:uid="{6EE87594-54CF-4A1F-BE51-5EEE38E87570}"/>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1005D641-1EBA-4B76-9AB0-AC79927DE0DD}"/>
    <cellStyle name="40% - Accent1 2 6 2 3" xfId="12163" xr:uid="{CC418517-3CCB-4DBF-B08A-DF8EE369E4C6}"/>
    <cellStyle name="40% - Accent1 2 6 3" xfId="5794" xr:uid="{00000000-0005-0000-0000-00000A040000}"/>
    <cellStyle name="40% - Accent1 2 6 3 2" xfId="14236" xr:uid="{FF396C08-AFAE-43BF-B229-AC5416BC55AD}"/>
    <cellStyle name="40% - Accent1 2 6 4" xfId="10018" xr:uid="{678FA5BA-2D06-463C-9FED-37158CF10CCA}"/>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6631AD4F-67EF-4305-96BB-B701A922313F}"/>
    <cellStyle name="40% - Accent1 2 7 2 3" xfId="12576" xr:uid="{DBC7189B-EF83-4338-A66E-B0A8C29C1F3B}"/>
    <cellStyle name="40% - Accent1 2 7 3" xfId="6207" xr:uid="{00000000-0005-0000-0000-00000E040000}"/>
    <cellStyle name="40% - Accent1 2 7 3 2" xfId="14649" xr:uid="{80FF9CE1-52F0-49A8-B9C6-B32A141391DA}"/>
    <cellStyle name="40% - Accent1 2 7 4" xfId="10431" xr:uid="{4E814C7B-313F-4934-B63E-9A133672FB4F}"/>
    <cellStyle name="40% - Accent1 2 8" xfId="2313" xr:uid="{00000000-0005-0000-0000-00000F040000}"/>
    <cellStyle name="40% - Accent1 2 8 2" xfId="6620" xr:uid="{00000000-0005-0000-0000-000010040000}"/>
    <cellStyle name="40% - Accent1 2 8 2 2" xfId="15062" xr:uid="{46C80FA4-36FF-4B71-9B37-386D758AC433}"/>
    <cellStyle name="40% - Accent1 2 8 3" xfId="10844" xr:uid="{6CFC5460-A904-4A31-980E-CB216AAE3D8B}"/>
    <cellStyle name="40% - Accent1 2 9" xfId="4554" xr:uid="{00000000-0005-0000-0000-000011040000}"/>
    <cellStyle name="40% - Accent1 2 9 2" xfId="12996" xr:uid="{D02AF8B5-7AE9-4FB4-AACC-4168BF7E5F75}"/>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39785457-E243-4AE8-8B2E-A34677C87A05}"/>
    <cellStyle name="40% - Accent1 3 2 2 2 3" xfId="11342" xr:uid="{EBC7EDC0-05B8-4950-B261-1AF1E5694717}"/>
    <cellStyle name="40% - Accent1 3 2 2 3" xfId="4973" xr:uid="{00000000-0005-0000-0000-000017040000}"/>
    <cellStyle name="40% - Accent1 3 2 2 3 2" xfId="13415" xr:uid="{16B0D90D-7D42-4FF9-B427-0F1C9E1A9915}"/>
    <cellStyle name="40% - Accent1 3 2 2 4" xfId="9197" xr:uid="{9A654F12-BB29-456C-9A75-3E3BEE1131AB}"/>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32910C07-0CFA-47D1-9279-41CE0C3DDF7B}"/>
    <cellStyle name="40% - Accent1 3 2 3 2 3" xfId="11755" xr:uid="{1588E290-1238-4B0F-A0A4-C34982D01A17}"/>
    <cellStyle name="40% - Accent1 3 2 3 3" xfId="5386" xr:uid="{00000000-0005-0000-0000-00001B040000}"/>
    <cellStyle name="40% - Accent1 3 2 3 3 2" xfId="13828" xr:uid="{260E2CF8-78B3-4657-8692-90B72BE2127F}"/>
    <cellStyle name="40% - Accent1 3 2 3 4" xfId="9610" xr:uid="{910D4DC5-1805-497D-8928-7F342589C93B}"/>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BEF290D5-F0E7-4FCC-B290-D86A6E8B8E92}"/>
    <cellStyle name="40% - Accent1 3 2 4 2 3" xfId="12168" xr:uid="{96E20990-4F73-4902-8A19-D13C8CBBBA20}"/>
    <cellStyle name="40% - Accent1 3 2 4 3" xfId="5799" xr:uid="{00000000-0005-0000-0000-00001F040000}"/>
    <cellStyle name="40% - Accent1 3 2 4 3 2" xfId="14241" xr:uid="{5F66BED8-0423-40AD-898F-0E2DA91322E0}"/>
    <cellStyle name="40% - Accent1 3 2 4 4" xfId="10023" xr:uid="{59D2E09D-BB1C-452D-9A50-C70318F78CCB}"/>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3214F9D5-FE76-4482-BC2B-61088C288A6B}"/>
    <cellStyle name="40% - Accent1 3 2 5 2 3" xfId="12581" xr:uid="{8B406DC5-03BD-4A4F-ADDF-C6DF24214D0B}"/>
    <cellStyle name="40% - Accent1 3 2 5 3" xfId="6212" xr:uid="{00000000-0005-0000-0000-000023040000}"/>
    <cellStyle name="40% - Accent1 3 2 5 3 2" xfId="14654" xr:uid="{2F816B5B-485C-4FCF-ABA5-667F73DF6878}"/>
    <cellStyle name="40% - Accent1 3 2 5 4" xfId="10436" xr:uid="{D2F451BD-EDBA-4532-937E-A95E26D854A5}"/>
    <cellStyle name="40% - Accent1 3 2 6" xfId="2318" xr:uid="{00000000-0005-0000-0000-000024040000}"/>
    <cellStyle name="40% - Accent1 3 2 6 2" xfId="6625" xr:uid="{00000000-0005-0000-0000-000025040000}"/>
    <cellStyle name="40% - Accent1 3 2 6 2 2" xfId="15067" xr:uid="{1FAE6A53-77FD-4BC8-B084-665E71486AEC}"/>
    <cellStyle name="40% - Accent1 3 2 6 3" xfId="10849" xr:uid="{4978931D-B6A6-43A1-8EFC-9F28FE3D9817}"/>
    <cellStyle name="40% - Accent1 3 2 7" xfId="4559" xr:uid="{00000000-0005-0000-0000-000026040000}"/>
    <cellStyle name="40% - Accent1 3 2 7 2" xfId="13001" xr:uid="{89EA2A9E-F91A-4D62-8C4A-2F29650C89D6}"/>
    <cellStyle name="40% - Accent1 3 2 8" xfId="8783" xr:uid="{81304016-1151-4061-89B4-ADC2332ADF00}"/>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6E08C63F-B602-4F7E-BD16-3B9E8A99FDDF}"/>
    <cellStyle name="40% - Accent1 3 3 2 3" xfId="11341" xr:uid="{97490AA6-2EEE-458C-9D35-E9EC032186AF}"/>
    <cellStyle name="40% - Accent1 3 3 3" xfId="4972" xr:uid="{00000000-0005-0000-0000-00002A040000}"/>
    <cellStyle name="40% - Accent1 3 3 3 2" xfId="13414" xr:uid="{A7EAC162-1BA8-43A1-9274-9E8AE7002707}"/>
    <cellStyle name="40% - Accent1 3 3 4" xfId="9196" xr:uid="{AA93DCA9-6136-4CCD-8B71-9B11D07A4A22}"/>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99380421-E7DE-4212-9C0B-8CCF77F2F5B9}"/>
    <cellStyle name="40% - Accent1 3 4 2 3" xfId="11754" xr:uid="{A0B5CA36-DE49-47B8-901F-54CC2D8BDDA7}"/>
    <cellStyle name="40% - Accent1 3 4 3" xfId="5385" xr:uid="{00000000-0005-0000-0000-00002E040000}"/>
    <cellStyle name="40% - Accent1 3 4 3 2" xfId="13827" xr:uid="{F993E643-AC5A-4216-AD12-ABA58AC11C76}"/>
    <cellStyle name="40% - Accent1 3 4 4" xfId="9609" xr:uid="{99AD14D4-91D2-4369-94BB-09E10A55E860}"/>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47CE9997-D2AA-4EBC-BD3B-BF82D7808B9F}"/>
    <cellStyle name="40% - Accent1 3 5 2 3" xfId="12167" xr:uid="{3DE9E3B5-1E63-4AEF-99FE-0C1C6E2DEA18}"/>
    <cellStyle name="40% - Accent1 3 5 3" xfId="5798" xr:uid="{00000000-0005-0000-0000-000032040000}"/>
    <cellStyle name="40% - Accent1 3 5 3 2" xfId="14240" xr:uid="{2306957D-FD00-4151-92EB-B219A6CC65E1}"/>
    <cellStyle name="40% - Accent1 3 5 4" xfId="10022" xr:uid="{FD0D7E5F-E538-4B9B-9F99-04854951001C}"/>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93F69A9E-B3F6-43A1-AC09-CCBC556A68C6}"/>
    <cellStyle name="40% - Accent1 3 6 2 3" xfId="12580" xr:uid="{846A945C-7E46-4167-B22E-B8DCA80FADE2}"/>
    <cellStyle name="40% - Accent1 3 6 3" xfId="6211" xr:uid="{00000000-0005-0000-0000-000036040000}"/>
    <cellStyle name="40% - Accent1 3 6 3 2" xfId="14653" xr:uid="{15990327-249B-4504-A298-6CA8531F9093}"/>
    <cellStyle name="40% - Accent1 3 6 4" xfId="10435" xr:uid="{69180EE5-59D5-4F00-AB18-E254B6E7FC16}"/>
    <cellStyle name="40% - Accent1 3 7" xfId="2317" xr:uid="{00000000-0005-0000-0000-000037040000}"/>
    <cellStyle name="40% - Accent1 3 7 2" xfId="6624" xr:uid="{00000000-0005-0000-0000-000038040000}"/>
    <cellStyle name="40% - Accent1 3 7 2 2" xfId="15066" xr:uid="{D9879B7B-6348-4016-BBA0-7560CD77D1CE}"/>
    <cellStyle name="40% - Accent1 3 7 3" xfId="10848" xr:uid="{B77350E4-7DA2-4413-B43D-46D407800441}"/>
    <cellStyle name="40% - Accent1 3 8" xfId="4558" xr:uid="{00000000-0005-0000-0000-000039040000}"/>
    <cellStyle name="40% - Accent1 3 8 2" xfId="13000" xr:uid="{3F4454AA-B843-4022-A06F-0CA186A95C1C}"/>
    <cellStyle name="40% - Accent1 3 9" xfId="8782" xr:uid="{33F3B1FE-697F-4DF2-8B87-75A0FFCD671A}"/>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3998E893-04E9-448E-81BF-A0BA7CBD10F4}"/>
    <cellStyle name="40% - Accent1 4 2 2 3" xfId="11343" xr:uid="{7EB5EBF6-6296-40CE-8049-E26C82B1A232}"/>
    <cellStyle name="40% - Accent1 4 2 3" xfId="4974" xr:uid="{00000000-0005-0000-0000-00003E040000}"/>
    <cellStyle name="40% - Accent1 4 2 3 2" xfId="13416" xr:uid="{85AF0C0F-9A0D-4D26-B382-11902BC80199}"/>
    <cellStyle name="40% - Accent1 4 2 4" xfId="9198" xr:uid="{BD98C5FF-E0A5-47B9-A632-31F67008A0B1}"/>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4BD223FE-EF8A-4D5B-8B1E-AF74E4C9D010}"/>
    <cellStyle name="40% - Accent1 4 3 2 3" xfId="11756" xr:uid="{147C0B4E-D55F-4620-9467-177DAD72C27F}"/>
    <cellStyle name="40% - Accent1 4 3 3" xfId="5387" xr:uid="{00000000-0005-0000-0000-000042040000}"/>
    <cellStyle name="40% - Accent1 4 3 3 2" xfId="13829" xr:uid="{ADFD39B9-4DD2-4D41-80AE-65104C68F1D7}"/>
    <cellStyle name="40% - Accent1 4 3 4" xfId="9611" xr:uid="{70E6A976-765B-458D-AC7B-B31A699F1A22}"/>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296E9AE0-1657-48FF-870E-800994696274}"/>
    <cellStyle name="40% - Accent1 4 4 2 3" xfId="12169" xr:uid="{71717782-9866-44BC-8436-F163C365A62E}"/>
    <cellStyle name="40% - Accent1 4 4 3" xfId="5800" xr:uid="{00000000-0005-0000-0000-000046040000}"/>
    <cellStyle name="40% - Accent1 4 4 3 2" xfId="14242" xr:uid="{31861C17-C439-4BE0-8470-1C4A436FFF89}"/>
    <cellStyle name="40% - Accent1 4 4 4" xfId="10024" xr:uid="{BD5B1831-23F6-4BE6-B776-B78E017097AC}"/>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5784E147-289C-4963-BD68-12FE3B5D90BE}"/>
    <cellStyle name="40% - Accent1 4 5 2 3" xfId="12582" xr:uid="{44028CF3-00B0-4A3C-BD6B-DF88D5D4246F}"/>
    <cellStyle name="40% - Accent1 4 5 3" xfId="6213" xr:uid="{00000000-0005-0000-0000-00004A040000}"/>
    <cellStyle name="40% - Accent1 4 5 3 2" xfId="14655" xr:uid="{4D509249-F247-43D5-9824-FF4DA714F052}"/>
    <cellStyle name="40% - Accent1 4 5 4" xfId="10437" xr:uid="{B8D80EE8-4C7B-414D-89B0-605B773AE632}"/>
    <cellStyle name="40% - Accent1 4 6" xfId="2319" xr:uid="{00000000-0005-0000-0000-00004B040000}"/>
    <cellStyle name="40% - Accent1 4 6 2" xfId="6626" xr:uid="{00000000-0005-0000-0000-00004C040000}"/>
    <cellStyle name="40% - Accent1 4 6 2 2" xfId="15068" xr:uid="{927BA26C-D70C-408E-8444-1533DFD152B5}"/>
    <cellStyle name="40% - Accent1 4 6 3" xfId="10850" xr:uid="{0BA386FE-DC36-44F6-90F3-4CD3F621F6D7}"/>
    <cellStyle name="40% - Accent1 4 7" xfId="4560" xr:uid="{00000000-0005-0000-0000-00004D040000}"/>
    <cellStyle name="40% - Accent1 4 7 2" xfId="13002" xr:uid="{7D524017-978A-4481-81A4-11367143A525}"/>
    <cellStyle name="40% - Accent1 4 8" xfId="8784" xr:uid="{34D1D1A9-FF86-4D72-B42C-B20DABE3EF68}"/>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FFC6D722-7677-4C88-874F-EB2E90D7F9E3}"/>
    <cellStyle name="40% - Accent1 5 2 3" xfId="11336" xr:uid="{6478CD84-E567-4BB4-81BB-663067CAAC8C}"/>
    <cellStyle name="40% - Accent1 5 3" xfId="4967" xr:uid="{00000000-0005-0000-0000-000051040000}"/>
    <cellStyle name="40% - Accent1 5 3 2" xfId="13409" xr:uid="{4FF28B1B-E47D-419E-B5C7-F62594420112}"/>
    <cellStyle name="40% - Accent1 5 4" xfId="9191" xr:uid="{5F8FAEB1-0B15-4DF5-A4B9-6BB5CB02158E}"/>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FC0E58E9-BF36-4480-A511-C91802D439EF}"/>
    <cellStyle name="40% - Accent1 6 2 3" xfId="11749" xr:uid="{CA70E4E4-9CAE-41CA-8F79-58F726053ADA}"/>
    <cellStyle name="40% - Accent1 6 3" xfId="5380" xr:uid="{00000000-0005-0000-0000-000055040000}"/>
    <cellStyle name="40% - Accent1 6 3 2" xfId="13822" xr:uid="{11CB60C6-1FF6-41C6-B230-B60BE626E0C8}"/>
    <cellStyle name="40% - Accent1 6 4" xfId="9604" xr:uid="{0EA50F3E-039D-4DB8-9CE0-17FB51D40C32}"/>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64041B5E-9B9C-45AF-B324-0444E4E309ED}"/>
    <cellStyle name="40% - Accent1 7 2 3" xfId="12162" xr:uid="{06CA740D-DBAE-45FC-8EBF-CB5F2908AFE6}"/>
    <cellStyle name="40% - Accent1 7 3" xfId="5793" xr:uid="{00000000-0005-0000-0000-000059040000}"/>
    <cellStyle name="40% - Accent1 7 3 2" xfId="14235" xr:uid="{22BC3FDE-7D73-4B0E-8507-22BAE0AABD24}"/>
    <cellStyle name="40% - Accent1 7 4" xfId="10017" xr:uid="{E4C7B4E5-4344-4E7B-AF23-8F11BFD41E9D}"/>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F7978624-1D7F-41A6-A02C-6FC1308C274B}"/>
    <cellStyle name="40% - Accent1 8 2 3" xfId="12575" xr:uid="{B9D0383D-483A-40A9-8111-EBE42E1356BE}"/>
    <cellStyle name="40% - Accent1 8 3" xfId="6206" xr:uid="{00000000-0005-0000-0000-00005D040000}"/>
    <cellStyle name="40% - Accent1 8 3 2" xfId="14648" xr:uid="{EA3B6A42-3AAB-422E-A285-924D1C369DB3}"/>
    <cellStyle name="40% - Accent1 8 4" xfId="10430" xr:uid="{BFA964B0-87AF-4C5C-A5E7-F65D72EACE77}"/>
    <cellStyle name="40% - Accent1 9" xfId="2312" xr:uid="{00000000-0005-0000-0000-00005E040000}"/>
    <cellStyle name="40% - Accent1 9 2" xfId="6619" xr:uid="{00000000-0005-0000-0000-00005F040000}"/>
    <cellStyle name="40% - Accent1 9 2 2" xfId="15061" xr:uid="{5DBA03B7-02AF-464D-9A6A-2C80F6EAB7BE}"/>
    <cellStyle name="40% - Accent1 9 3" xfId="10843" xr:uid="{452BFB5D-77C6-4122-8954-DAAFF1595D14}"/>
    <cellStyle name="40% - Accent2" xfId="57" builtinId="35" customBuiltin="1"/>
    <cellStyle name="40% - Accent2 10" xfId="4561" xr:uid="{00000000-0005-0000-0000-000061040000}"/>
    <cellStyle name="40% - Accent2 10 2" xfId="13003" xr:uid="{2CA3B57D-DF33-4A29-810E-0F96A76226E6}"/>
    <cellStyle name="40% - Accent2 11" xfId="8785" xr:uid="{83B20DE9-6A40-4CF3-B891-0CD4A134044B}"/>
    <cellStyle name="40% - Accent2 2" xfId="58" xr:uid="{00000000-0005-0000-0000-000062040000}"/>
    <cellStyle name="40% - Accent2 2 10" xfId="8786" xr:uid="{3D7BD41A-EDE0-4127-8E87-7524585985EF}"/>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3DABE723-6489-4961-8D9F-5E66F4331618}"/>
    <cellStyle name="40% - Accent2 2 2 2 2 2 3" xfId="11347" xr:uid="{0294F277-625A-4D21-A8E9-0359B0A8C5D1}"/>
    <cellStyle name="40% - Accent2 2 2 2 2 3" xfId="4978" xr:uid="{00000000-0005-0000-0000-000068040000}"/>
    <cellStyle name="40% - Accent2 2 2 2 2 3 2" xfId="13420" xr:uid="{1EAAAB30-A944-451A-926F-F41FD6F0740F}"/>
    <cellStyle name="40% - Accent2 2 2 2 2 4" xfId="9202" xr:uid="{B51C3948-1AF0-4EE6-AAB4-5FEC11124436}"/>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4A5B8F0F-F45A-4BA0-BD31-508F2056513B}"/>
    <cellStyle name="40% - Accent2 2 2 2 3 2 3" xfId="11760" xr:uid="{8A1A1DF7-1643-41EA-ABA1-3BDF2CB63732}"/>
    <cellStyle name="40% - Accent2 2 2 2 3 3" xfId="5391" xr:uid="{00000000-0005-0000-0000-00006C040000}"/>
    <cellStyle name="40% - Accent2 2 2 2 3 3 2" xfId="13833" xr:uid="{D771C9BD-1E9A-4B43-AB0C-61FB0E11A8E9}"/>
    <cellStyle name="40% - Accent2 2 2 2 3 4" xfId="9615" xr:uid="{09E062F1-D6AC-46AA-A3E0-69E5183AEF46}"/>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CF0649FC-29A1-451F-A4F8-4F4448BA41C4}"/>
    <cellStyle name="40% - Accent2 2 2 2 4 2 3" xfId="12173" xr:uid="{CE47E8F8-60C8-4777-BB28-F1466BD5DA14}"/>
    <cellStyle name="40% - Accent2 2 2 2 4 3" xfId="5804" xr:uid="{00000000-0005-0000-0000-000070040000}"/>
    <cellStyle name="40% - Accent2 2 2 2 4 3 2" xfId="14246" xr:uid="{B5F91D66-96EB-4CCF-A258-B7FD04354B98}"/>
    <cellStyle name="40% - Accent2 2 2 2 4 4" xfId="10028" xr:uid="{94528C9E-025E-446C-894C-DBC03E6D6417}"/>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965A91D8-E144-4DC8-B4FF-3B58BA06C151}"/>
    <cellStyle name="40% - Accent2 2 2 2 5 2 3" xfId="12586" xr:uid="{AD9B5964-82F2-490B-BCE5-9DDAD9BF9236}"/>
    <cellStyle name="40% - Accent2 2 2 2 5 3" xfId="6217" xr:uid="{00000000-0005-0000-0000-000074040000}"/>
    <cellStyle name="40% - Accent2 2 2 2 5 3 2" xfId="14659" xr:uid="{C01706CD-65C9-4EEC-931E-AFA7D1A865E2}"/>
    <cellStyle name="40% - Accent2 2 2 2 5 4" xfId="10441" xr:uid="{9DD1B089-48AA-47E3-AEFF-160AC967BDD5}"/>
    <cellStyle name="40% - Accent2 2 2 2 6" xfId="2323" xr:uid="{00000000-0005-0000-0000-000075040000}"/>
    <cellStyle name="40% - Accent2 2 2 2 6 2" xfId="6630" xr:uid="{00000000-0005-0000-0000-000076040000}"/>
    <cellStyle name="40% - Accent2 2 2 2 6 2 2" xfId="15072" xr:uid="{17EAF5DD-3A45-4B93-AE7E-33944CF8A968}"/>
    <cellStyle name="40% - Accent2 2 2 2 6 3" xfId="10854" xr:uid="{829D0D73-C1C6-446D-9176-95F3204D0E5D}"/>
    <cellStyle name="40% - Accent2 2 2 2 7" xfId="4564" xr:uid="{00000000-0005-0000-0000-000077040000}"/>
    <cellStyle name="40% - Accent2 2 2 2 7 2" xfId="13006" xr:uid="{12344CEA-9996-4C87-83A7-E67B40E2F1A2}"/>
    <cellStyle name="40% - Accent2 2 2 2 8" xfId="8788" xr:uid="{438C0D77-27FB-4634-8818-44947AE9D818}"/>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F54C722F-E57C-4BA2-AF5B-F03B0C87AC5B}"/>
    <cellStyle name="40% - Accent2 2 2 3 2 3" xfId="11346" xr:uid="{7216BC9C-681D-4AA4-9F57-76CAD6C65B3A}"/>
    <cellStyle name="40% - Accent2 2 2 3 3" xfId="4977" xr:uid="{00000000-0005-0000-0000-00007B040000}"/>
    <cellStyle name="40% - Accent2 2 2 3 3 2" xfId="13419" xr:uid="{AFE7433E-9A4A-470D-BAA1-07B2D51C78B3}"/>
    <cellStyle name="40% - Accent2 2 2 3 4" xfId="9201" xr:uid="{65B114A0-C283-4BB0-AA84-C3AC09EC216F}"/>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3FADC429-018B-4B8C-953C-278671625D14}"/>
    <cellStyle name="40% - Accent2 2 2 4 2 3" xfId="11759" xr:uid="{48586EBD-C0FE-45E5-8465-4E4F186F9A17}"/>
    <cellStyle name="40% - Accent2 2 2 4 3" xfId="5390" xr:uid="{00000000-0005-0000-0000-00007F040000}"/>
    <cellStyle name="40% - Accent2 2 2 4 3 2" xfId="13832" xr:uid="{12083172-AA70-4BE9-AC33-49071232387B}"/>
    <cellStyle name="40% - Accent2 2 2 4 4" xfId="9614" xr:uid="{B053A014-1338-47B1-9D20-FF0631E69B1D}"/>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8A1EBD90-5BAC-421C-BA64-2B871A350ADC}"/>
    <cellStyle name="40% - Accent2 2 2 5 2 3" xfId="12172" xr:uid="{DC83FAD1-8B2D-4878-88FF-F3682F96DD2D}"/>
    <cellStyle name="40% - Accent2 2 2 5 3" xfId="5803" xr:uid="{00000000-0005-0000-0000-000083040000}"/>
    <cellStyle name="40% - Accent2 2 2 5 3 2" xfId="14245" xr:uid="{5529F7B9-AD06-47E0-B523-B1A1EDBA30B9}"/>
    <cellStyle name="40% - Accent2 2 2 5 4" xfId="10027" xr:uid="{C7479349-72FC-44CB-BFDB-569D5D200CA5}"/>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6B263DE0-A8ED-4684-A07C-3C5516D023CA}"/>
    <cellStyle name="40% - Accent2 2 2 6 2 3" xfId="12585" xr:uid="{605051A6-0502-4AC1-9C98-C42BA9956370}"/>
    <cellStyle name="40% - Accent2 2 2 6 3" xfId="6216" xr:uid="{00000000-0005-0000-0000-000087040000}"/>
    <cellStyle name="40% - Accent2 2 2 6 3 2" xfId="14658" xr:uid="{AAA4665F-726D-486A-9034-E260710303F4}"/>
    <cellStyle name="40% - Accent2 2 2 6 4" xfId="10440" xr:uid="{568D0194-E6A2-4C0E-AC13-2039693B1485}"/>
    <cellStyle name="40% - Accent2 2 2 7" xfId="2322" xr:uid="{00000000-0005-0000-0000-000088040000}"/>
    <cellStyle name="40% - Accent2 2 2 7 2" xfId="6629" xr:uid="{00000000-0005-0000-0000-000089040000}"/>
    <cellStyle name="40% - Accent2 2 2 7 2 2" xfId="15071" xr:uid="{E5FD22F0-A7DF-4598-880C-E0CA58FFCB8F}"/>
    <cellStyle name="40% - Accent2 2 2 7 3" xfId="10853" xr:uid="{C0C8CAEA-A8A6-45B9-BCC0-EC4971D2A668}"/>
    <cellStyle name="40% - Accent2 2 2 8" xfId="4563" xr:uid="{00000000-0005-0000-0000-00008A040000}"/>
    <cellStyle name="40% - Accent2 2 2 8 2" xfId="13005" xr:uid="{2D0BA13A-51AC-46E4-9170-DB0A07DC07C6}"/>
    <cellStyle name="40% - Accent2 2 2 9" xfId="8787" xr:uid="{642375A9-87D4-427E-B778-0730D0E2B562}"/>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68E9D9BB-B012-4E4C-8BDD-1D2ACB20CA49}"/>
    <cellStyle name="40% - Accent2 2 3 2 2 3" xfId="11348" xr:uid="{F0921A09-65BD-4EEC-8813-576082F2D4D2}"/>
    <cellStyle name="40% - Accent2 2 3 2 3" xfId="4979" xr:uid="{00000000-0005-0000-0000-00008F040000}"/>
    <cellStyle name="40% - Accent2 2 3 2 3 2" xfId="13421" xr:uid="{2E73BD57-BEBA-47B2-B175-F703D6FB3BC3}"/>
    <cellStyle name="40% - Accent2 2 3 2 4" xfId="9203" xr:uid="{2730A1AA-0FAB-43D7-A881-9F3249A16795}"/>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5982FD5D-AFB8-4488-B458-F8BB8B05DA4F}"/>
    <cellStyle name="40% - Accent2 2 3 3 2 3" xfId="11761" xr:uid="{F915B00B-9D54-49D7-A4B8-7FF82E862C68}"/>
    <cellStyle name="40% - Accent2 2 3 3 3" xfId="5392" xr:uid="{00000000-0005-0000-0000-000093040000}"/>
    <cellStyle name="40% - Accent2 2 3 3 3 2" xfId="13834" xr:uid="{2D43BABD-F81A-4884-8450-D01AE1341226}"/>
    <cellStyle name="40% - Accent2 2 3 3 4" xfId="9616" xr:uid="{55DEBBB4-677F-4868-977E-8E108EA0C41F}"/>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F983BB19-3DA6-45D5-9D10-A5E6BF549516}"/>
    <cellStyle name="40% - Accent2 2 3 4 2 3" xfId="12174" xr:uid="{5A2C0888-83FF-4D36-B40F-24FF148C77B1}"/>
    <cellStyle name="40% - Accent2 2 3 4 3" xfId="5805" xr:uid="{00000000-0005-0000-0000-000097040000}"/>
    <cellStyle name="40% - Accent2 2 3 4 3 2" xfId="14247" xr:uid="{AF2D6A25-5C6E-4A75-AF4C-899682FF0814}"/>
    <cellStyle name="40% - Accent2 2 3 4 4" xfId="10029" xr:uid="{B26D7FE1-9CA7-4A5F-AFEB-06A1D32FB0C6}"/>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55136298-A0B4-475E-932F-FDB3CC8ECE15}"/>
    <cellStyle name="40% - Accent2 2 3 5 2 3" xfId="12587" xr:uid="{770E81CC-1CED-4766-B37F-DF2CDB67E9D5}"/>
    <cellStyle name="40% - Accent2 2 3 5 3" xfId="6218" xr:uid="{00000000-0005-0000-0000-00009B040000}"/>
    <cellStyle name="40% - Accent2 2 3 5 3 2" xfId="14660" xr:uid="{79ECEC0F-2872-472D-AF5D-077CF810DC56}"/>
    <cellStyle name="40% - Accent2 2 3 5 4" xfId="10442" xr:uid="{CBA682EC-3F05-4F06-910F-C79B8615FD3D}"/>
    <cellStyle name="40% - Accent2 2 3 6" xfId="2324" xr:uid="{00000000-0005-0000-0000-00009C040000}"/>
    <cellStyle name="40% - Accent2 2 3 6 2" xfId="6631" xr:uid="{00000000-0005-0000-0000-00009D040000}"/>
    <cellStyle name="40% - Accent2 2 3 6 2 2" xfId="15073" xr:uid="{5D48B2ED-F170-4F5F-A668-D8D2075248CC}"/>
    <cellStyle name="40% - Accent2 2 3 6 3" xfId="10855" xr:uid="{341D2E17-2420-4F1F-8E77-D1B502D730B9}"/>
    <cellStyle name="40% - Accent2 2 3 7" xfId="4565" xr:uid="{00000000-0005-0000-0000-00009E040000}"/>
    <cellStyle name="40% - Accent2 2 3 7 2" xfId="13007" xr:uid="{CE888EA2-1F19-44C0-A445-D3E871D72863}"/>
    <cellStyle name="40% - Accent2 2 3 8" xfId="8789" xr:uid="{9BA774C8-E8FC-485B-AEB1-DD9D5956C287}"/>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25AFF26C-9976-43DD-A5CC-9B848E9B87AE}"/>
    <cellStyle name="40% - Accent2 2 4 2 3" xfId="11345" xr:uid="{C330C240-8670-4C96-B57A-BEF94CB72F5A}"/>
    <cellStyle name="40% - Accent2 2 4 3" xfId="4976" xr:uid="{00000000-0005-0000-0000-0000A2040000}"/>
    <cellStyle name="40% - Accent2 2 4 3 2" xfId="13418" xr:uid="{316A975C-1FAA-430D-96A2-0173F40F3734}"/>
    <cellStyle name="40% - Accent2 2 4 4" xfId="9200" xr:uid="{5DB9A375-40D9-4199-A295-7081DA6DA28A}"/>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25BB3650-484A-45D8-A22C-1E754257D2ED}"/>
    <cellStyle name="40% - Accent2 2 5 2 3" xfId="11758" xr:uid="{AD12F5A1-C9E8-46C6-8350-2ADAE35BAFA1}"/>
    <cellStyle name="40% - Accent2 2 5 3" xfId="5389" xr:uid="{00000000-0005-0000-0000-0000A6040000}"/>
    <cellStyle name="40% - Accent2 2 5 3 2" xfId="13831" xr:uid="{7867D783-B579-4775-BC76-E6F4DD7FE069}"/>
    <cellStyle name="40% - Accent2 2 5 4" xfId="9613" xr:uid="{7F54CEE6-CD0F-4817-8CE2-1BBF912BF637}"/>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ECB27369-144E-4D49-9B2B-503C5BB7D93E}"/>
    <cellStyle name="40% - Accent2 2 6 2 3" xfId="12171" xr:uid="{28CA3B92-52CA-4046-808A-9762DEFF9B97}"/>
    <cellStyle name="40% - Accent2 2 6 3" xfId="5802" xr:uid="{00000000-0005-0000-0000-0000AA040000}"/>
    <cellStyle name="40% - Accent2 2 6 3 2" xfId="14244" xr:uid="{7E1A3669-ACFE-4AB8-8F4D-BC67250E48E0}"/>
    <cellStyle name="40% - Accent2 2 6 4" xfId="10026" xr:uid="{7B334635-995F-4DF6-8B77-66C3DA6B67F5}"/>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F0C8746F-4C19-4D64-98A5-866565316D56}"/>
    <cellStyle name="40% - Accent2 2 7 2 3" xfId="12584" xr:uid="{50C0CB33-C1FD-4657-855A-0604AC06A2D3}"/>
    <cellStyle name="40% - Accent2 2 7 3" xfId="6215" xr:uid="{00000000-0005-0000-0000-0000AE040000}"/>
    <cellStyle name="40% - Accent2 2 7 3 2" xfId="14657" xr:uid="{B189537C-0FA7-4783-83FF-43D75919490D}"/>
    <cellStyle name="40% - Accent2 2 7 4" xfId="10439" xr:uid="{B688A989-8AE5-4A5E-B30F-3B08AA9EB948}"/>
    <cellStyle name="40% - Accent2 2 8" xfId="2321" xr:uid="{00000000-0005-0000-0000-0000AF040000}"/>
    <cellStyle name="40% - Accent2 2 8 2" xfId="6628" xr:uid="{00000000-0005-0000-0000-0000B0040000}"/>
    <cellStyle name="40% - Accent2 2 8 2 2" xfId="15070" xr:uid="{DDC24FE0-A307-4C8D-929B-A51C0553563C}"/>
    <cellStyle name="40% - Accent2 2 8 3" xfId="10852" xr:uid="{B31BA843-B837-43DE-87EF-A378F72518B3}"/>
    <cellStyle name="40% - Accent2 2 9" xfId="4562" xr:uid="{00000000-0005-0000-0000-0000B1040000}"/>
    <cellStyle name="40% - Accent2 2 9 2" xfId="13004" xr:uid="{568DEC32-87D8-44B7-ABFA-EDED4A8B2CFD}"/>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06AF4C2D-DEE8-4309-8DD1-B1282F4A75D1}"/>
    <cellStyle name="40% - Accent2 3 2 2 2 3" xfId="11350" xr:uid="{B7C7D3EE-DFB4-4796-AF53-C51B204A56F4}"/>
    <cellStyle name="40% - Accent2 3 2 2 3" xfId="4981" xr:uid="{00000000-0005-0000-0000-0000B7040000}"/>
    <cellStyle name="40% - Accent2 3 2 2 3 2" xfId="13423" xr:uid="{2B6EC555-2AB9-42F5-AC57-86BEAE38B22A}"/>
    <cellStyle name="40% - Accent2 3 2 2 4" xfId="9205" xr:uid="{576ADE31-D3E6-4ED5-896E-960597B9DFBB}"/>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0A512C7E-7B71-4D51-ACC5-DD035E32A65F}"/>
    <cellStyle name="40% - Accent2 3 2 3 2 3" xfId="11763" xr:uid="{96133C4A-C5A0-4D63-B822-2B086F4A3836}"/>
    <cellStyle name="40% - Accent2 3 2 3 3" xfId="5394" xr:uid="{00000000-0005-0000-0000-0000BB040000}"/>
    <cellStyle name="40% - Accent2 3 2 3 3 2" xfId="13836" xr:uid="{10422284-4A62-4D10-9CDD-42E6AA9143B0}"/>
    <cellStyle name="40% - Accent2 3 2 3 4" xfId="9618" xr:uid="{423F3228-E8EC-4EF8-81FB-2302D09D8B02}"/>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39D03CAB-24EC-48EF-A32E-3942A7646183}"/>
    <cellStyle name="40% - Accent2 3 2 4 2 3" xfId="12176" xr:uid="{B1C7D29B-D9CF-4693-928D-F8C6DEC48692}"/>
    <cellStyle name="40% - Accent2 3 2 4 3" xfId="5807" xr:uid="{00000000-0005-0000-0000-0000BF040000}"/>
    <cellStyle name="40% - Accent2 3 2 4 3 2" xfId="14249" xr:uid="{11738567-229E-46D9-A338-13390DF0D166}"/>
    <cellStyle name="40% - Accent2 3 2 4 4" xfId="10031" xr:uid="{20F32EC8-BF23-4433-B22E-C25B995344D7}"/>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EAFD28C2-ABA0-4264-84B4-6E9BC9EF5C59}"/>
    <cellStyle name="40% - Accent2 3 2 5 2 3" xfId="12589" xr:uid="{7D993EB4-5860-4BC1-A7DE-69C34BEBC463}"/>
    <cellStyle name="40% - Accent2 3 2 5 3" xfId="6220" xr:uid="{00000000-0005-0000-0000-0000C3040000}"/>
    <cellStyle name="40% - Accent2 3 2 5 3 2" xfId="14662" xr:uid="{EC6C45BA-32B6-400B-901E-A1C13361848C}"/>
    <cellStyle name="40% - Accent2 3 2 5 4" xfId="10444" xr:uid="{D19EC039-1C6A-47DA-862F-7AF117F1F723}"/>
    <cellStyle name="40% - Accent2 3 2 6" xfId="2326" xr:uid="{00000000-0005-0000-0000-0000C4040000}"/>
    <cellStyle name="40% - Accent2 3 2 6 2" xfId="6633" xr:uid="{00000000-0005-0000-0000-0000C5040000}"/>
    <cellStyle name="40% - Accent2 3 2 6 2 2" xfId="15075" xr:uid="{704C1BE0-D829-4DBE-B3D1-BB831FB69073}"/>
    <cellStyle name="40% - Accent2 3 2 6 3" xfId="10857" xr:uid="{207E9CDF-DAC4-4EB4-B587-E7ADAD961840}"/>
    <cellStyle name="40% - Accent2 3 2 7" xfId="4567" xr:uid="{00000000-0005-0000-0000-0000C6040000}"/>
    <cellStyle name="40% - Accent2 3 2 7 2" xfId="13009" xr:uid="{1B034A5E-5456-4CFF-8D8E-AC98D076C69E}"/>
    <cellStyle name="40% - Accent2 3 2 8" xfId="8791" xr:uid="{214B31AC-A857-49B4-A33F-925469243D14}"/>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8C06A278-922C-4E50-8AAB-5EC08CA5BE0B}"/>
    <cellStyle name="40% - Accent2 3 3 2 3" xfId="11349" xr:uid="{01CD8E23-A0BD-482F-92B4-5CB32C7A87BE}"/>
    <cellStyle name="40% - Accent2 3 3 3" xfId="4980" xr:uid="{00000000-0005-0000-0000-0000CA040000}"/>
    <cellStyle name="40% - Accent2 3 3 3 2" xfId="13422" xr:uid="{F66A1019-10E2-41F2-BE86-F225820306A8}"/>
    <cellStyle name="40% - Accent2 3 3 4" xfId="9204" xr:uid="{181FE8BA-2860-4DD4-B2B7-0CBE81E0F4C4}"/>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504A9D3A-E619-464B-870E-7E6A8D8C69A5}"/>
    <cellStyle name="40% - Accent2 3 4 2 3" xfId="11762" xr:uid="{B99ADD7E-42A8-4D37-9D73-52A7114C34C2}"/>
    <cellStyle name="40% - Accent2 3 4 3" xfId="5393" xr:uid="{00000000-0005-0000-0000-0000CE040000}"/>
    <cellStyle name="40% - Accent2 3 4 3 2" xfId="13835" xr:uid="{C90432CE-9607-4DC0-A918-8AD505453BC2}"/>
    <cellStyle name="40% - Accent2 3 4 4" xfId="9617" xr:uid="{18399B64-9E52-4068-BF3C-A1A417E4B1C9}"/>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F4E40871-3A66-44AC-BF2B-53B9AC85F404}"/>
    <cellStyle name="40% - Accent2 3 5 2 3" xfId="12175" xr:uid="{8B8B5B17-7F84-4292-AA2E-356D0E07667E}"/>
    <cellStyle name="40% - Accent2 3 5 3" xfId="5806" xr:uid="{00000000-0005-0000-0000-0000D2040000}"/>
    <cellStyle name="40% - Accent2 3 5 3 2" xfId="14248" xr:uid="{F47F2FA6-976B-41C7-A89A-A54625C0123C}"/>
    <cellStyle name="40% - Accent2 3 5 4" xfId="10030" xr:uid="{338FDDBB-92E0-4E9F-B817-9F3D7EF74903}"/>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B76EEE2E-F10C-44AB-B49F-05DDCB54549D}"/>
    <cellStyle name="40% - Accent2 3 6 2 3" xfId="12588" xr:uid="{F4B439D0-B580-4E67-97E9-FFFC487FD470}"/>
    <cellStyle name="40% - Accent2 3 6 3" xfId="6219" xr:uid="{00000000-0005-0000-0000-0000D6040000}"/>
    <cellStyle name="40% - Accent2 3 6 3 2" xfId="14661" xr:uid="{8FF128B9-F6CC-40F9-B30F-FF1FEC8FDC8E}"/>
    <cellStyle name="40% - Accent2 3 6 4" xfId="10443" xr:uid="{4C35EC94-7337-4C60-96AE-482D4CF81EF0}"/>
    <cellStyle name="40% - Accent2 3 7" xfId="2325" xr:uid="{00000000-0005-0000-0000-0000D7040000}"/>
    <cellStyle name="40% - Accent2 3 7 2" xfId="6632" xr:uid="{00000000-0005-0000-0000-0000D8040000}"/>
    <cellStyle name="40% - Accent2 3 7 2 2" xfId="15074" xr:uid="{72D6C334-4654-466D-A731-424A02434D56}"/>
    <cellStyle name="40% - Accent2 3 7 3" xfId="10856" xr:uid="{7CBE03BA-AD38-47DA-8A76-B048CC8E3323}"/>
    <cellStyle name="40% - Accent2 3 8" xfId="4566" xr:uid="{00000000-0005-0000-0000-0000D9040000}"/>
    <cellStyle name="40% - Accent2 3 8 2" xfId="13008" xr:uid="{02F6FAD2-3E57-45AF-9B18-DEFDF417EAF9}"/>
    <cellStyle name="40% - Accent2 3 9" xfId="8790" xr:uid="{50C70D90-783D-44B3-B249-F229C149090D}"/>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50AF22E5-7231-41A3-9543-171533C97EAB}"/>
    <cellStyle name="40% - Accent2 4 2 2 3" xfId="11351" xr:uid="{37F879F6-4F7F-4560-8725-05BA77C3026A}"/>
    <cellStyle name="40% - Accent2 4 2 3" xfId="4982" xr:uid="{00000000-0005-0000-0000-0000DE040000}"/>
    <cellStyle name="40% - Accent2 4 2 3 2" xfId="13424" xr:uid="{EA5185D2-6F3A-4ED3-A189-36A231ACEF37}"/>
    <cellStyle name="40% - Accent2 4 2 4" xfId="9206" xr:uid="{7CB94911-6392-4346-83C1-BB4F59A6183C}"/>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E5E5267B-7F1F-4977-968F-B1F347E93896}"/>
    <cellStyle name="40% - Accent2 4 3 2 3" xfId="11764" xr:uid="{C4737C37-990A-4AD9-B96A-A6A943A73129}"/>
    <cellStyle name="40% - Accent2 4 3 3" xfId="5395" xr:uid="{00000000-0005-0000-0000-0000E2040000}"/>
    <cellStyle name="40% - Accent2 4 3 3 2" xfId="13837" xr:uid="{6A071095-5563-4818-8DD8-177D25E0913E}"/>
    <cellStyle name="40% - Accent2 4 3 4" xfId="9619" xr:uid="{777305B2-6894-4A1E-95B0-3962EAEBC94E}"/>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2B7DC4E7-8C99-4AA0-8CB1-31954C3450D1}"/>
    <cellStyle name="40% - Accent2 4 4 2 3" xfId="12177" xr:uid="{AB93931C-DB03-488F-908F-FA2D4077E8D4}"/>
    <cellStyle name="40% - Accent2 4 4 3" xfId="5808" xr:uid="{00000000-0005-0000-0000-0000E6040000}"/>
    <cellStyle name="40% - Accent2 4 4 3 2" xfId="14250" xr:uid="{D28E1F21-228F-4ED3-980F-0A32791D1C50}"/>
    <cellStyle name="40% - Accent2 4 4 4" xfId="10032" xr:uid="{51143C05-E005-4FDC-B4CA-FE0082B9E49C}"/>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E47562ED-0FCE-48B1-B3D0-573FB1249F80}"/>
    <cellStyle name="40% - Accent2 4 5 2 3" xfId="12590" xr:uid="{15D59891-9D7D-401D-9BAA-27FBBE37E2A6}"/>
    <cellStyle name="40% - Accent2 4 5 3" xfId="6221" xr:uid="{00000000-0005-0000-0000-0000EA040000}"/>
    <cellStyle name="40% - Accent2 4 5 3 2" xfId="14663" xr:uid="{95AF2A98-898B-4A74-813E-2324541123EF}"/>
    <cellStyle name="40% - Accent2 4 5 4" xfId="10445" xr:uid="{807CDD96-F122-4A3D-9595-E8C50EABEA55}"/>
    <cellStyle name="40% - Accent2 4 6" xfId="2327" xr:uid="{00000000-0005-0000-0000-0000EB040000}"/>
    <cellStyle name="40% - Accent2 4 6 2" xfId="6634" xr:uid="{00000000-0005-0000-0000-0000EC040000}"/>
    <cellStyle name="40% - Accent2 4 6 2 2" xfId="15076" xr:uid="{168846FD-56A6-475F-A4EE-345DBFFB8403}"/>
    <cellStyle name="40% - Accent2 4 6 3" xfId="10858" xr:uid="{AA1AC587-2680-48B4-86DE-380C3371BAB4}"/>
    <cellStyle name="40% - Accent2 4 7" xfId="4568" xr:uid="{00000000-0005-0000-0000-0000ED040000}"/>
    <cellStyle name="40% - Accent2 4 7 2" xfId="13010" xr:uid="{D6B0BC3C-21F4-4892-AB2D-77991E7712B7}"/>
    <cellStyle name="40% - Accent2 4 8" xfId="8792" xr:uid="{09F5ED12-5D11-4F9D-A703-A1A51E36BE97}"/>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D5651D69-88AD-4A84-8937-43136037E29D}"/>
    <cellStyle name="40% - Accent2 5 2 3" xfId="11344" xr:uid="{CFC9B9B7-4E86-46B9-9585-46894A95D040}"/>
    <cellStyle name="40% - Accent2 5 3" xfId="4975" xr:uid="{00000000-0005-0000-0000-0000F1040000}"/>
    <cellStyle name="40% - Accent2 5 3 2" xfId="13417" xr:uid="{CC8B958D-326B-4D75-953A-092E12D3CD5D}"/>
    <cellStyle name="40% - Accent2 5 4" xfId="9199" xr:uid="{B5B9BB8A-B3FB-40D2-A6B1-D3854486E6F3}"/>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0FDE2EAC-EF59-4169-98F6-BFF734F33540}"/>
    <cellStyle name="40% - Accent2 6 2 3" xfId="11757" xr:uid="{2950538B-083E-4B04-857B-25158F69C23A}"/>
    <cellStyle name="40% - Accent2 6 3" xfId="5388" xr:uid="{00000000-0005-0000-0000-0000F5040000}"/>
    <cellStyle name="40% - Accent2 6 3 2" xfId="13830" xr:uid="{26E0D0E0-F56A-4C20-BE48-85B5F43B212A}"/>
    <cellStyle name="40% - Accent2 6 4" xfId="9612" xr:uid="{8E1D4900-ED5A-46CD-8002-C85B07CB62F0}"/>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253CCEBF-5EEB-44DB-960D-9D8DE474D715}"/>
    <cellStyle name="40% - Accent2 7 2 3" xfId="12170" xr:uid="{16D9D744-37F4-4070-BDC9-0424F91A02A0}"/>
    <cellStyle name="40% - Accent2 7 3" xfId="5801" xr:uid="{00000000-0005-0000-0000-0000F9040000}"/>
    <cellStyle name="40% - Accent2 7 3 2" xfId="14243" xr:uid="{1F75AF54-1749-44BE-8437-7EDB62D3D5F4}"/>
    <cellStyle name="40% - Accent2 7 4" xfId="10025" xr:uid="{D5875DF8-4B7B-4B1D-A13A-435C73499020}"/>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4EB382A4-5D60-4FF2-AE6B-E96E2C158E94}"/>
    <cellStyle name="40% - Accent2 8 2 3" xfId="12583" xr:uid="{B311E779-1E04-4AB9-B964-9D2D9F7AA093}"/>
    <cellStyle name="40% - Accent2 8 3" xfId="6214" xr:uid="{00000000-0005-0000-0000-0000FD040000}"/>
    <cellStyle name="40% - Accent2 8 3 2" xfId="14656" xr:uid="{36304B31-02DF-487C-B7D5-541277032915}"/>
    <cellStyle name="40% - Accent2 8 4" xfId="10438" xr:uid="{6D51D22B-71B5-4CA0-AB4B-FCF091D753DF}"/>
    <cellStyle name="40% - Accent2 9" xfId="2320" xr:uid="{00000000-0005-0000-0000-0000FE040000}"/>
    <cellStyle name="40% - Accent2 9 2" xfId="6627" xr:uid="{00000000-0005-0000-0000-0000FF040000}"/>
    <cellStyle name="40% - Accent2 9 2 2" xfId="15069" xr:uid="{DC0CB9E6-F677-4718-8C03-86C001BD454B}"/>
    <cellStyle name="40% - Accent2 9 3" xfId="10851" xr:uid="{6350256C-3C6D-457E-B583-BFD64DB66BF4}"/>
    <cellStyle name="40% - Accent3" xfId="65" builtinId="39" customBuiltin="1"/>
    <cellStyle name="40% - Accent3 10" xfId="4569" xr:uid="{00000000-0005-0000-0000-000001050000}"/>
    <cellStyle name="40% - Accent3 10 2" xfId="13011" xr:uid="{640DB91C-98BA-4DC8-8242-CDEECC8136C0}"/>
    <cellStyle name="40% - Accent3 11" xfId="8793" xr:uid="{E7713807-EBE1-420F-8064-3B46589EDEC7}"/>
    <cellStyle name="40% - Accent3 2" xfId="66" xr:uid="{00000000-0005-0000-0000-000002050000}"/>
    <cellStyle name="40% - Accent3 2 10" xfId="8794" xr:uid="{F396055A-BCA8-499D-BBC0-673024596EC1}"/>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DA8B91C6-B17E-4481-AE1B-41E6E97F3B09}"/>
    <cellStyle name="40% - Accent3 2 2 2 2 2 3" xfId="11355" xr:uid="{63A4409C-A245-492F-AF8D-613609126B10}"/>
    <cellStyle name="40% - Accent3 2 2 2 2 3" xfId="4986" xr:uid="{00000000-0005-0000-0000-000008050000}"/>
    <cellStyle name="40% - Accent3 2 2 2 2 3 2" xfId="13428" xr:uid="{B4EEDA5D-3D09-4A45-9F73-62474B0567AE}"/>
    <cellStyle name="40% - Accent3 2 2 2 2 4" xfId="9210" xr:uid="{789AD02A-9BA9-4192-9C21-F2975CB55469}"/>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B576436A-5EDC-4F26-AAA8-466BEB956125}"/>
    <cellStyle name="40% - Accent3 2 2 2 3 2 3" xfId="11768" xr:uid="{8C31C255-C812-4923-B747-E9DE9C39E3F6}"/>
    <cellStyle name="40% - Accent3 2 2 2 3 3" xfId="5399" xr:uid="{00000000-0005-0000-0000-00000C050000}"/>
    <cellStyle name="40% - Accent3 2 2 2 3 3 2" xfId="13841" xr:uid="{3516BB6F-12D6-4252-AEE5-D2CE5AE94A5B}"/>
    <cellStyle name="40% - Accent3 2 2 2 3 4" xfId="9623" xr:uid="{2DCB50F7-A50D-44B8-9298-DC16B1475C7E}"/>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63673CE0-FC93-4A3E-B16B-70027E52A722}"/>
    <cellStyle name="40% - Accent3 2 2 2 4 2 3" xfId="12181" xr:uid="{429A1AE6-B9BE-4582-B513-20F15782CE6B}"/>
    <cellStyle name="40% - Accent3 2 2 2 4 3" xfId="5812" xr:uid="{00000000-0005-0000-0000-000010050000}"/>
    <cellStyle name="40% - Accent3 2 2 2 4 3 2" xfId="14254" xr:uid="{FC459763-8225-4266-84AC-C27247DB7879}"/>
    <cellStyle name="40% - Accent3 2 2 2 4 4" xfId="10036" xr:uid="{12E0DE04-1AF9-4902-8B66-BE66B53C81F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4344416C-1590-4347-ADD7-159EDEA1B518}"/>
    <cellStyle name="40% - Accent3 2 2 2 5 2 3" xfId="12594" xr:uid="{8508EB54-0BF5-4CC2-9BCA-B2DE5A428BAD}"/>
    <cellStyle name="40% - Accent3 2 2 2 5 3" xfId="6225" xr:uid="{00000000-0005-0000-0000-000014050000}"/>
    <cellStyle name="40% - Accent3 2 2 2 5 3 2" xfId="14667" xr:uid="{EA55DA5F-F70E-4826-B595-50ACD0DF1095}"/>
    <cellStyle name="40% - Accent3 2 2 2 5 4" xfId="10449" xr:uid="{D307128B-B043-4F90-B7F7-0DC6D5E43D20}"/>
    <cellStyle name="40% - Accent3 2 2 2 6" xfId="2331" xr:uid="{00000000-0005-0000-0000-000015050000}"/>
    <cellStyle name="40% - Accent3 2 2 2 6 2" xfId="6638" xr:uid="{00000000-0005-0000-0000-000016050000}"/>
    <cellStyle name="40% - Accent3 2 2 2 6 2 2" xfId="15080" xr:uid="{FFDC5708-3D4B-4A51-A00E-DA391999D817}"/>
    <cellStyle name="40% - Accent3 2 2 2 6 3" xfId="10862" xr:uid="{A34997EF-8733-4C15-A996-8A1E3A828DE7}"/>
    <cellStyle name="40% - Accent3 2 2 2 7" xfId="4572" xr:uid="{00000000-0005-0000-0000-000017050000}"/>
    <cellStyle name="40% - Accent3 2 2 2 7 2" xfId="13014" xr:uid="{A41B9519-6822-4789-A29C-D5EA00A88F53}"/>
    <cellStyle name="40% - Accent3 2 2 2 8" xfId="8796" xr:uid="{9AB2B2DD-C9BC-4FEE-B6C3-0375403C8D15}"/>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52767DCA-F3E6-47E5-8AD9-FF3112C85FE2}"/>
    <cellStyle name="40% - Accent3 2 2 3 2 3" xfId="11354" xr:uid="{DCCEA1F1-86BB-469A-8781-C4398647F7BD}"/>
    <cellStyle name="40% - Accent3 2 2 3 3" xfId="4985" xr:uid="{00000000-0005-0000-0000-00001B050000}"/>
    <cellStyle name="40% - Accent3 2 2 3 3 2" xfId="13427" xr:uid="{8F372AD5-19F1-43BE-A291-44C29542D984}"/>
    <cellStyle name="40% - Accent3 2 2 3 4" xfId="9209" xr:uid="{AC086B47-7FD8-4F4E-B2BE-B0EC15E221EF}"/>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6D67B160-1C8D-458E-938D-B3A4E573AC4E}"/>
    <cellStyle name="40% - Accent3 2 2 4 2 3" xfId="11767" xr:uid="{1DC2565D-0442-4E1E-98D1-71965AAD6680}"/>
    <cellStyle name="40% - Accent3 2 2 4 3" xfId="5398" xr:uid="{00000000-0005-0000-0000-00001F050000}"/>
    <cellStyle name="40% - Accent3 2 2 4 3 2" xfId="13840" xr:uid="{FDD816ED-E1AD-4DB9-84AA-E9330DC6FC19}"/>
    <cellStyle name="40% - Accent3 2 2 4 4" xfId="9622" xr:uid="{9EFEE9A5-04F3-4781-A8DF-8092475949F9}"/>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1134F88B-4628-47F9-998F-D24ECCB7690E}"/>
    <cellStyle name="40% - Accent3 2 2 5 2 3" xfId="12180" xr:uid="{E27835E5-378B-43C0-9D9C-915B6BA8C0CA}"/>
    <cellStyle name="40% - Accent3 2 2 5 3" xfId="5811" xr:uid="{00000000-0005-0000-0000-000023050000}"/>
    <cellStyle name="40% - Accent3 2 2 5 3 2" xfId="14253" xr:uid="{09BC3DEA-29DD-42D9-8669-ED600396B5CB}"/>
    <cellStyle name="40% - Accent3 2 2 5 4" xfId="10035" xr:uid="{E8F5FD18-8E66-421B-B5C4-FDCFA951E46C}"/>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32AABFC2-4E25-4FF9-9269-C7DD1BF36400}"/>
    <cellStyle name="40% - Accent3 2 2 6 2 3" xfId="12593" xr:uid="{12AE8A2C-5550-4783-824C-1D0F0FE0AD70}"/>
    <cellStyle name="40% - Accent3 2 2 6 3" xfId="6224" xr:uid="{00000000-0005-0000-0000-000027050000}"/>
    <cellStyle name="40% - Accent3 2 2 6 3 2" xfId="14666" xr:uid="{25E2CFB5-4FF8-44B2-A6F5-ACCD4498B157}"/>
    <cellStyle name="40% - Accent3 2 2 6 4" xfId="10448" xr:uid="{BA9033E1-94E5-443B-A01E-457FA6B83B70}"/>
    <cellStyle name="40% - Accent3 2 2 7" xfId="2330" xr:uid="{00000000-0005-0000-0000-000028050000}"/>
    <cellStyle name="40% - Accent3 2 2 7 2" xfId="6637" xr:uid="{00000000-0005-0000-0000-000029050000}"/>
    <cellStyle name="40% - Accent3 2 2 7 2 2" xfId="15079" xr:uid="{32D816CE-4C6E-4220-917B-20351500E248}"/>
    <cellStyle name="40% - Accent3 2 2 7 3" xfId="10861" xr:uid="{6FEDE22E-9E33-47C4-B7AF-BB6D0FDBF51F}"/>
    <cellStyle name="40% - Accent3 2 2 8" xfId="4571" xr:uid="{00000000-0005-0000-0000-00002A050000}"/>
    <cellStyle name="40% - Accent3 2 2 8 2" xfId="13013" xr:uid="{235FADC6-B586-4A34-B7FF-B121F12AA024}"/>
    <cellStyle name="40% - Accent3 2 2 9" xfId="8795" xr:uid="{598B80E1-1507-4609-B261-9187DA2B75AD}"/>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BCCCC1BA-46B0-4ADA-ADEE-9C2C8BA24FA4}"/>
    <cellStyle name="40% - Accent3 2 3 2 2 3" xfId="11356" xr:uid="{A4CA95EA-6287-471F-AE0B-3EA513AA7B83}"/>
    <cellStyle name="40% - Accent3 2 3 2 3" xfId="4987" xr:uid="{00000000-0005-0000-0000-00002F050000}"/>
    <cellStyle name="40% - Accent3 2 3 2 3 2" xfId="13429" xr:uid="{CFD76DD0-0A3C-4040-9247-2D9BDF624905}"/>
    <cellStyle name="40% - Accent3 2 3 2 4" xfId="9211" xr:uid="{0FCBBBEF-E856-4AB8-91EA-36FBDD21C94F}"/>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F99457F2-276D-45CA-9393-1BAC10CE5967}"/>
    <cellStyle name="40% - Accent3 2 3 3 2 3" xfId="11769" xr:uid="{A28A848A-3531-49C0-8900-59C67CA04CCB}"/>
    <cellStyle name="40% - Accent3 2 3 3 3" xfId="5400" xr:uid="{00000000-0005-0000-0000-000033050000}"/>
    <cellStyle name="40% - Accent3 2 3 3 3 2" xfId="13842" xr:uid="{4C5823BA-979E-4E46-B5EF-44818BE7A37B}"/>
    <cellStyle name="40% - Accent3 2 3 3 4" xfId="9624" xr:uid="{1A313FC9-3B3E-4808-98D0-67CBF9E3398A}"/>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ECA06B78-6DEE-4485-B41D-C9FA51A18F94}"/>
    <cellStyle name="40% - Accent3 2 3 4 2 3" xfId="12182" xr:uid="{F8C95EC8-11E3-4C07-BAAC-DE5DCCC54FD9}"/>
    <cellStyle name="40% - Accent3 2 3 4 3" xfId="5813" xr:uid="{00000000-0005-0000-0000-000037050000}"/>
    <cellStyle name="40% - Accent3 2 3 4 3 2" xfId="14255" xr:uid="{BCB73623-7FF1-4C8A-984C-57EFAA9D3246}"/>
    <cellStyle name="40% - Accent3 2 3 4 4" xfId="10037" xr:uid="{ACB606AE-AD0C-48EF-9B64-DA3CF8ED5D58}"/>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AAB6E845-8068-4735-A469-611F4B070328}"/>
    <cellStyle name="40% - Accent3 2 3 5 2 3" xfId="12595" xr:uid="{C1970B3F-8FC4-4C7C-9A85-C266FC3DA137}"/>
    <cellStyle name="40% - Accent3 2 3 5 3" xfId="6226" xr:uid="{00000000-0005-0000-0000-00003B050000}"/>
    <cellStyle name="40% - Accent3 2 3 5 3 2" xfId="14668" xr:uid="{F7BE05B2-907C-4049-B2E6-C16EEEE4DC0B}"/>
    <cellStyle name="40% - Accent3 2 3 5 4" xfId="10450" xr:uid="{5A6633FA-171B-436E-A105-AD2DF3AB16AC}"/>
    <cellStyle name="40% - Accent3 2 3 6" xfId="2332" xr:uid="{00000000-0005-0000-0000-00003C050000}"/>
    <cellStyle name="40% - Accent3 2 3 6 2" xfId="6639" xr:uid="{00000000-0005-0000-0000-00003D050000}"/>
    <cellStyle name="40% - Accent3 2 3 6 2 2" xfId="15081" xr:uid="{309979DB-13C8-49E2-BA02-B26AB07EA714}"/>
    <cellStyle name="40% - Accent3 2 3 6 3" xfId="10863" xr:uid="{0A1C23AA-9173-450D-A8C9-D12279E23AAD}"/>
    <cellStyle name="40% - Accent3 2 3 7" xfId="4573" xr:uid="{00000000-0005-0000-0000-00003E050000}"/>
    <cellStyle name="40% - Accent3 2 3 7 2" xfId="13015" xr:uid="{F0C04994-601F-45B2-B718-1580497F393C}"/>
    <cellStyle name="40% - Accent3 2 3 8" xfId="8797" xr:uid="{0CAEFC22-A95F-4731-A7CD-29DDF6099E03}"/>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9E305A98-03E6-41ED-B263-9AA324AD3B28}"/>
    <cellStyle name="40% - Accent3 2 4 2 3" xfId="11353" xr:uid="{E1FB0B73-73C2-45AE-87C5-4EBB986BF632}"/>
    <cellStyle name="40% - Accent3 2 4 3" xfId="4984" xr:uid="{00000000-0005-0000-0000-000042050000}"/>
    <cellStyle name="40% - Accent3 2 4 3 2" xfId="13426" xr:uid="{C61032A1-FCB5-4E7B-B878-91F31AF6DC51}"/>
    <cellStyle name="40% - Accent3 2 4 4" xfId="9208" xr:uid="{E7A6EDDB-FDFD-42C4-9663-9DE730E3553C}"/>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65B2E7DC-E646-490F-BCAB-F547467968C1}"/>
    <cellStyle name="40% - Accent3 2 5 2 3" xfId="11766" xr:uid="{385C335B-65B1-420B-A3D9-31E8B1B50E4E}"/>
    <cellStyle name="40% - Accent3 2 5 3" xfId="5397" xr:uid="{00000000-0005-0000-0000-000046050000}"/>
    <cellStyle name="40% - Accent3 2 5 3 2" xfId="13839" xr:uid="{F4B79064-5803-4FDE-BDD4-E3516D8689FF}"/>
    <cellStyle name="40% - Accent3 2 5 4" xfId="9621" xr:uid="{63F315DC-87B9-4348-9CAD-49DF1CB1E1EB}"/>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253D0A24-EA69-4F34-86CA-6B0A2CAB6AAA}"/>
    <cellStyle name="40% - Accent3 2 6 2 3" xfId="12179" xr:uid="{DC247EB2-409E-4926-83C3-2CC4E415B91A}"/>
    <cellStyle name="40% - Accent3 2 6 3" xfId="5810" xr:uid="{00000000-0005-0000-0000-00004A050000}"/>
    <cellStyle name="40% - Accent3 2 6 3 2" xfId="14252" xr:uid="{5F501C33-0D2B-4C6C-A077-9B6B0B99109A}"/>
    <cellStyle name="40% - Accent3 2 6 4" xfId="10034" xr:uid="{1D51B678-BF73-403C-902A-77FCCF25F7BA}"/>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9E65732C-6EA8-4A39-818E-A3BCA00969CF}"/>
    <cellStyle name="40% - Accent3 2 7 2 3" xfId="12592" xr:uid="{56BA221E-FC0A-4188-B9A6-9290F7B96A93}"/>
    <cellStyle name="40% - Accent3 2 7 3" xfId="6223" xr:uid="{00000000-0005-0000-0000-00004E050000}"/>
    <cellStyle name="40% - Accent3 2 7 3 2" xfId="14665" xr:uid="{50D73A72-D3DE-439B-84E2-CC16844263F8}"/>
    <cellStyle name="40% - Accent3 2 7 4" xfId="10447" xr:uid="{2A52D1A2-C98D-4CC2-BBD6-735C0779B849}"/>
    <cellStyle name="40% - Accent3 2 8" xfId="2329" xr:uid="{00000000-0005-0000-0000-00004F050000}"/>
    <cellStyle name="40% - Accent3 2 8 2" xfId="6636" xr:uid="{00000000-0005-0000-0000-000050050000}"/>
    <cellStyle name="40% - Accent3 2 8 2 2" xfId="15078" xr:uid="{44DDDC30-5EEA-4A45-9B4D-844A0249B5DA}"/>
    <cellStyle name="40% - Accent3 2 8 3" xfId="10860" xr:uid="{49851CAF-EFEE-4A37-93C4-B4286ADDFCA9}"/>
    <cellStyle name="40% - Accent3 2 9" xfId="4570" xr:uid="{00000000-0005-0000-0000-000051050000}"/>
    <cellStyle name="40% - Accent3 2 9 2" xfId="13012" xr:uid="{BBAACEE1-E80A-496B-8FB9-B66FEF47F2A7}"/>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87FFC127-CDAD-4CA5-B868-CEA3640D3230}"/>
    <cellStyle name="40% - Accent3 3 2 2 2 3" xfId="11358" xr:uid="{50FC9A43-0FE1-4428-B08C-B4161EB267F3}"/>
    <cellStyle name="40% - Accent3 3 2 2 3" xfId="4989" xr:uid="{00000000-0005-0000-0000-000057050000}"/>
    <cellStyle name="40% - Accent3 3 2 2 3 2" xfId="13431" xr:uid="{261009A4-8192-4D73-B4D2-7EC6FD1D746D}"/>
    <cellStyle name="40% - Accent3 3 2 2 4" xfId="9213" xr:uid="{DE89FF7F-34D0-4211-8E97-682531F21177}"/>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295EEE7D-544A-42DB-848E-3984F1E24DF5}"/>
    <cellStyle name="40% - Accent3 3 2 3 2 3" xfId="11771" xr:uid="{85A93BD9-4F54-4353-85D2-0A8B5A5BC269}"/>
    <cellStyle name="40% - Accent3 3 2 3 3" xfId="5402" xr:uid="{00000000-0005-0000-0000-00005B050000}"/>
    <cellStyle name="40% - Accent3 3 2 3 3 2" xfId="13844" xr:uid="{CDD0F948-722C-4C72-AA96-29E3ECD92462}"/>
    <cellStyle name="40% - Accent3 3 2 3 4" xfId="9626" xr:uid="{03F08DA1-9C31-4CAB-AD25-D8E73CF3D225}"/>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17714A82-53CB-4E9F-A2AC-EFF217DFFFEC}"/>
    <cellStyle name="40% - Accent3 3 2 4 2 3" xfId="12184" xr:uid="{7E3F44BB-0CDA-42BA-841A-008C8B571943}"/>
    <cellStyle name="40% - Accent3 3 2 4 3" xfId="5815" xr:uid="{00000000-0005-0000-0000-00005F050000}"/>
    <cellStyle name="40% - Accent3 3 2 4 3 2" xfId="14257" xr:uid="{05D777E6-C2EC-43C4-9EC7-00CCD4E4BD2C}"/>
    <cellStyle name="40% - Accent3 3 2 4 4" xfId="10039" xr:uid="{0725F2D0-C66F-472A-BCC0-22B49CB2D562}"/>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6D8E23F9-4F02-439F-B5B0-96E63010CDA6}"/>
    <cellStyle name="40% - Accent3 3 2 5 2 3" xfId="12597" xr:uid="{3D83FB47-E97F-4C99-A60B-40FFA772EEF2}"/>
    <cellStyle name="40% - Accent3 3 2 5 3" xfId="6228" xr:uid="{00000000-0005-0000-0000-000063050000}"/>
    <cellStyle name="40% - Accent3 3 2 5 3 2" xfId="14670" xr:uid="{F5919EC8-F11B-47A0-8C53-18A1D9327183}"/>
    <cellStyle name="40% - Accent3 3 2 5 4" xfId="10452" xr:uid="{692F04C2-6A68-4DA2-9753-0CB7F1FF9F8A}"/>
    <cellStyle name="40% - Accent3 3 2 6" xfId="2334" xr:uid="{00000000-0005-0000-0000-000064050000}"/>
    <cellStyle name="40% - Accent3 3 2 6 2" xfId="6641" xr:uid="{00000000-0005-0000-0000-000065050000}"/>
    <cellStyle name="40% - Accent3 3 2 6 2 2" xfId="15083" xr:uid="{4B192F65-20B8-44EA-8DAB-D1BF3BDB1CC0}"/>
    <cellStyle name="40% - Accent3 3 2 6 3" xfId="10865" xr:uid="{E433206E-EB7A-43A9-BD21-7F6FF4E444FF}"/>
    <cellStyle name="40% - Accent3 3 2 7" xfId="4575" xr:uid="{00000000-0005-0000-0000-000066050000}"/>
    <cellStyle name="40% - Accent3 3 2 7 2" xfId="13017" xr:uid="{8670B41A-EDC6-46B1-9F96-F2D6099EBB28}"/>
    <cellStyle name="40% - Accent3 3 2 8" xfId="8799" xr:uid="{0E6E4D0E-B8C9-472F-8FA4-E97E73690126}"/>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F3ED1216-17AC-4FE5-9534-019FBCCF2486}"/>
    <cellStyle name="40% - Accent3 3 3 2 3" xfId="11357" xr:uid="{38676935-3FD4-4592-ADBD-F9F9299FBA7B}"/>
    <cellStyle name="40% - Accent3 3 3 3" xfId="4988" xr:uid="{00000000-0005-0000-0000-00006A050000}"/>
    <cellStyle name="40% - Accent3 3 3 3 2" xfId="13430" xr:uid="{C4764FE3-C338-47E4-88B4-1338B94F4441}"/>
    <cellStyle name="40% - Accent3 3 3 4" xfId="9212" xr:uid="{BCFED327-5CBF-4ADF-946A-E18805AB23C2}"/>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FF0291A2-ADD7-4048-93D0-FB589DBA8B01}"/>
    <cellStyle name="40% - Accent3 3 4 2 3" xfId="11770" xr:uid="{42898911-6936-48F0-AA49-43F72C3F1932}"/>
    <cellStyle name="40% - Accent3 3 4 3" xfId="5401" xr:uid="{00000000-0005-0000-0000-00006E050000}"/>
    <cellStyle name="40% - Accent3 3 4 3 2" xfId="13843" xr:uid="{9F408A7E-2513-4D94-AA3E-BE58E5E0C69D}"/>
    <cellStyle name="40% - Accent3 3 4 4" xfId="9625" xr:uid="{64C67ACF-FE4A-48DC-B635-9C22A7ADFDB3}"/>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EBEB5DDD-997A-46D7-ACA9-BCD00A0132EB}"/>
    <cellStyle name="40% - Accent3 3 5 2 3" xfId="12183" xr:uid="{267118D3-FBA1-4D85-93A3-AA63D508EAF1}"/>
    <cellStyle name="40% - Accent3 3 5 3" xfId="5814" xr:uid="{00000000-0005-0000-0000-000072050000}"/>
    <cellStyle name="40% - Accent3 3 5 3 2" xfId="14256" xr:uid="{679EC8FD-0C56-438F-85CD-0D054497CD8C}"/>
    <cellStyle name="40% - Accent3 3 5 4" xfId="10038" xr:uid="{C04BECAF-4584-4481-897E-2C2D383B472C}"/>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DF106222-DFC7-4EAF-B860-683B59800149}"/>
    <cellStyle name="40% - Accent3 3 6 2 3" xfId="12596" xr:uid="{E44C8E85-7807-431A-BC37-218ACCAEF265}"/>
    <cellStyle name="40% - Accent3 3 6 3" xfId="6227" xr:uid="{00000000-0005-0000-0000-000076050000}"/>
    <cellStyle name="40% - Accent3 3 6 3 2" xfId="14669" xr:uid="{94A0F8EC-444F-4318-8823-D1418BCBFE1D}"/>
    <cellStyle name="40% - Accent3 3 6 4" xfId="10451" xr:uid="{C5D6E8B5-B6DA-4FB9-BFEF-ADA1C8FA6E5D}"/>
    <cellStyle name="40% - Accent3 3 7" xfId="2333" xr:uid="{00000000-0005-0000-0000-000077050000}"/>
    <cellStyle name="40% - Accent3 3 7 2" xfId="6640" xr:uid="{00000000-0005-0000-0000-000078050000}"/>
    <cellStyle name="40% - Accent3 3 7 2 2" xfId="15082" xr:uid="{95517C60-3FED-43D2-9180-39A45F0DF8C7}"/>
    <cellStyle name="40% - Accent3 3 7 3" xfId="10864" xr:uid="{9D55F8B2-629A-447C-B828-743F991A163A}"/>
    <cellStyle name="40% - Accent3 3 8" xfId="4574" xr:uid="{00000000-0005-0000-0000-000079050000}"/>
    <cellStyle name="40% - Accent3 3 8 2" xfId="13016" xr:uid="{4487545F-D309-49F5-AAAB-DFAF2280459B}"/>
    <cellStyle name="40% - Accent3 3 9" xfId="8798" xr:uid="{D8200693-2B74-4F80-BA7D-76F38AA2EF33}"/>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8ED9668F-C29F-4B0F-81BC-DE7DCF20E268}"/>
    <cellStyle name="40% - Accent3 4 2 2 3" xfId="11359" xr:uid="{532A52A7-E69D-40CE-93CC-26E3335613FD}"/>
    <cellStyle name="40% - Accent3 4 2 3" xfId="4990" xr:uid="{00000000-0005-0000-0000-00007E050000}"/>
    <cellStyle name="40% - Accent3 4 2 3 2" xfId="13432" xr:uid="{7AFA4EB4-3C0C-4D18-82B3-BB79443CE4BD}"/>
    <cellStyle name="40% - Accent3 4 2 4" xfId="9214" xr:uid="{DD83794C-9F37-4F33-BA37-37693DFE0892}"/>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5E9DB492-0533-4834-866F-0A13FAEECCD7}"/>
    <cellStyle name="40% - Accent3 4 3 2 3" xfId="11772" xr:uid="{72C76E53-0279-43ED-B75E-934AC16AE386}"/>
    <cellStyle name="40% - Accent3 4 3 3" xfId="5403" xr:uid="{00000000-0005-0000-0000-000082050000}"/>
    <cellStyle name="40% - Accent3 4 3 3 2" xfId="13845" xr:uid="{96320058-8592-4A15-9E66-5ABA07A7544C}"/>
    <cellStyle name="40% - Accent3 4 3 4" xfId="9627" xr:uid="{36FDD82B-C860-4775-83E3-1DE90B8B0F61}"/>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D2451AB8-B84C-445F-A51A-82204DABD38D}"/>
    <cellStyle name="40% - Accent3 4 4 2 3" xfId="12185" xr:uid="{3EE18835-658B-4A53-AADA-F97D0DE94563}"/>
    <cellStyle name="40% - Accent3 4 4 3" xfId="5816" xr:uid="{00000000-0005-0000-0000-000086050000}"/>
    <cellStyle name="40% - Accent3 4 4 3 2" xfId="14258" xr:uid="{28E38139-45DD-472C-A628-DE80FA2766F4}"/>
    <cellStyle name="40% - Accent3 4 4 4" xfId="10040" xr:uid="{BCA1A6A4-2B76-4524-95B0-C78CEE72C699}"/>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E3B4F854-DA51-4930-9C8D-62C2B8D2831C}"/>
    <cellStyle name="40% - Accent3 4 5 2 3" xfId="12598" xr:uid="{E013A2AA-0735-466E-9EAA-108744C85667}"/>
    <cellStyle name="40% - Accent3 4 5 3" xfId="6229" xr:uid="{00000000-0005-0000-0000-00008A050000}"/>
    <cellStyle name="40% - Accent3 4 5 3 2" xfId="14671" xr:uid="{9DFE3210-FD45-450E-94C4-AE845D53EC1F}"/>
    <cellStyle name="40% - Accent3 4 5 4" xfId="10453" xr:uid="{95B611F7-769C-4E81-B41E-7959736A0596}"/>
    <cellStyle name="40% - Accent3 4 6" xfId="2335" xr:uid="{00000000-0005-0000-0000-00008B050000}"/>
    <cellStyle name="40% - Accent3 4 6 2" xfId="6642" xr:uid="{00000000-0005-0000-0000-00008C050000}"/>
    <cellStyle name="40% - Accent3 4 6 2 2" xfId="15084" xr:uid="{93F6EC12-C234-4A72-A2DF-8A227E0FCBD8}"/>
    <cellStyle name="40% - Accent3 4 6 3" xfId="10866" xr:uid="{507664D8-217C-49E2-ADB6-C260FC734978}"/>
    <cellStyle name="40% - Accent3 4 7" xfId="4576" xr:uid="{00000000-0005-0000-0000-00008D050000}"/>
    <cellStyle name="40% - Accent3 4 7 2" xfId="13018" xr:uid="{49D726B9-532B-4B74-8D5B-23CDA9EF4BF9}"/>
    <cellStyle name="40% - Accent3 4 8" xfId="8800" xr:uid="{AE02270E-EA8C-437B-A4BE-112D11C63547}"/>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0FAD83A1-27CD-4B66-A5C0-069BCB862E71}"/>
    <cellStyle name="40% - Accent3 5 2 3" xfId="11352" xr:uid="{74706B89-3DCF-4DDA-87C9-344B0AD0E306}"/>
    <cellStyle name="40% - Accent3 5 3" xfId="4983" xr:uid="{00000000-0005-0000-0000-000091050000}"/>
    <cellStyle name="40% - Accent3 5 3 2" xfId="13425" xr:uid="{8F04D8C0-ACDD-416B-9122-76D17DB30AC8}"/>
    <cellStyle name="40% - Accent3 5 4" xfId="9207" xr:uid="{A5F40431-BF9E-4EB0-893C-4667488E8B0D}"/>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E8D5459C-8194-4F12-9CE7-1A5DDAC7C3D2}"/>
    <cellStyle name="40% - Accent3 6 2 3" xfId="11765" xr:uid="{C7C575D5-0A7C-4AC2-9634-F3ACF94D38BE}"/>
    <cellStyle name="40% - Accent3 6 3" xfId="5396" xr:uid="{00000000-0005-0000-0000-000095050000}"/>
    <cellStyle name="40% - Accent3 6 3 2" xfId="13838" xr:uid="{067DD2C2-B244-4CCD-B12B-362C042C1691}"/>
    <cellStyle name="40% - Accent3 6 4" xfId="9620" xr:uid="{C4FACCF9-795C-448A-A9E1-66E5B2DF879F}"/>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83FE759E-E922-463D-AEBD-015C74D29546}"/>
    <cellStyle name="40% - Accent3 7 2 3" xfId="12178" xr:uid="{19E08373-B385-488B-AF16-4E7902944BB4}"/>
    <cellStyle name="40% - Accent3 7 3" xfId="5809" xr:uid="{00000000-0005-0000-0000-000099050000}"/>
    <cellStyle name="40% - Accent3 7 3 2" xfId="14251" xr:uid="{D2C13969-7E2A-48CC-B19F-77B38F1D3AB6}"/>
    <cellStyle name="40% - Accent3 7 4" xfId="10033" xr:uid="{8FEE367C-AC78-4267-90A1-3F3BB22FDFA9}"/>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9BCD8C88-E4E2-4887-B980-13CE73F301F7}"/>
    <cellStyle name="40% - Accent3 8 2 3" xfId="12591" xr:uid="{29036F36-854D-4650-8F62-6D4367A250BD}"/>
    <cellStyle name="40% - Accent3 8 3" xfId="6222" xr:uid="{00000000-0005-0000-0000-00009D050000}"/>
    <cellStyle name="40% - Accent3 8 3 2" xfId="14664" xr:uid="{513E898B-B2AF-4710-AEB6-4E8A3A6607BA}"/>
    <cellStyle name="40% - Accent3 8 4" xfId="10446" xr:uid="{2E5E434C-E41C-497C-A0E1-9FB39EFB63E1}"/>
    <cellStyle name="40% - Accent3 9" xfId="2328" xr:uid="{00000000-0005-0000-0000-00009E050000}"/>
    <cellStyle name="40% - Accent3 9 2" xfId="6635" xr:uid="{00000000-0005-0000-0000-00009F050000}"/>
    <cellStyle name="40% - Accent3 9 2 2" xfId="15077" xr:uid="{F6E60022-6B70-4B7F-A97B-60DEB4FE53BA}"/>
    <cellStyle name="40% - Accent3 9 3" xfId="10859" xr:uid="{E49BE975-CD7F-4316-8125-FB3D21DF2ED4}"/>
    <cellStyle name="40% - Accent4" xfId="73" builtinId="43" customBuiltin="1"/>
    <cellStyle name="40% - Accent4 10" xfId="4577" xr:uid="{00000000-0005-0000-0000-0000A1050000}"/>
    <cellStyle name="40% - Accent4 10 2" xfId="13019" xr:uid="{9DC5B69D-53DB-4E98-97F9-41E99A3013D2}"/>
    <cellStyle name="40% - Accent4 11" xfId="8801" xr:uid="{CAFCE644-3B72-4974-A106-CAA24B578D34}"/>
    <cellStyle name="40% - Accent4 2" xfId="74" xr:uid="{00000000-0005-0000-0000-0000A2050000}"/>
    <cellStyle name="40% - Accent4 2 10" xfId="8802" xr:uid="{F18A1B05-3B68-4946-8F13-81A42995A6AE}"/>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8B979E1A-E47A-4F83-9638-A2FD756BFC82}"/>
    <cellStyle name="40% - Accent4 2 2 2 2 2 3" xfId="11363" xr:uid="{2EE0D7AB-35C8-4746-B0C0-AF98EE10AA4F}"/>
    <cellStyle name="40% - Accent4 2 2 2 2 3" xfId="4994" xr:uid="{00000000-0005-0000-0000-0000A8050000}"/>
    <cellStyle name="40% - Accent4 2 2 2 2 3 2" xfId="13436" xr:uid="{2CEBD18D-FBB7-424C-BD1B-3981F9CA7398}"/>
    <cellStyle name="40% - Accent4 2 2 2 2 4" xfId="9218" xr:uid="{C69302EE-BD87-4C94-BE0B-9F56B51028E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91CEBCCE-075C-455E-8F74-960DACC0AE8D}"/>
    <cellStyle name="40% - Accent4 2 2 2 3 2 3" xfId="11776" xr:uid="{66F49337-386D-4987-90EF-8BDE5B935EB2}"/>
    <cellStyle name="40% - Accent4 2 2 2 3 3" xfId="5407" xr:uid="{00000000-0005-0000-0000-0000AC050000}"/>
    <cellStyle name="40% - Accent4 2 2 2 3 3 2" xfId="13849" xr:uid="{A9A091D3-6977-4D4A-BD73-84C443476AD4}"/>
    <cellStyle name="40% - Accent4 2 2 2 3 4" xfId="9631" xr:uid="{556C022A-C105-4E40-88BA-1F591759AACC}"/>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BBF39502-BD7A-4732-992A-988F566C16CE}"/>
    <cellStyle name="40% - Accent4 2 2 2 4 2 3" xfId="12189" xr:uid="{B2ACBAC7-92BD-4D78-A5A5-C7312128F73A}"/>
    <cellStyle name="40% - Accent4 2 2 2 4 3" xfId="5820" xr:uid="{00000000-0005-0000-0000-0000B0050000}"/>
    <cellStyle name="40% - Accent4 2 2 2 4 3 2" xfId="14262" xr:uid="{8400CFCA-D91A-4FCB-AB85-C27E1224FB70}"/>
    <cellStyle name="40% - Accent4 2 2 2 4 4" xfId="10044" xr:uid="{9285FC4A-2701-427B-A730-364F4E5A7F9F}"/>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A67A1212-9359-4049-875F-9DEFFD32A174}"/>
    <cellStyle name="40% - Accent4 2 2 2 5 2 3" xfId="12602" xr:uid="{8DF217D3-75A1-4E91-A17D-6DFE3CB5495D}"/>
    <cellStyle name="40% - Accent4 2 2 2 5 3" xfId="6233" xr:uid="{00000000-0005-0000-0000-0000B4050000}"/>
    <cellStyle name="40% - Accent4 2 2 2 5 3 2" xfId="14675" xr:uid="{6DD5A165-F8CD-4270-B23A-AC450BB590AE}"/>
    <cellStyle name="40% - Accent4 2 2 2 5 4" xfId="10457" xr:uid="{69840B15-C2A1-4F2F-B50E-E35E496CB174}"/>
    <cellStyle name="40% - Accent4 2 2 2 6" xfId="2339" xr:uid="{00000000-0005-0000-0000-0000B5050000}"/>
    <cellStyle name="40% - Accent4 2 2 2 6 2" xfId="6646" xr:uid="{00000000-0005-0000-0000-0000B6050000}"/>
    <cellStyle name="40% - Accent4 2 2 2 6 2 2" xfId="15088" xr:uid="{34DCEF54-8349-4B62-8620-26F98D69F5D4}"/>
    <cellStyle name="40% - Accent4 2 2 2 6 3" xfId="10870" xr:uid="{192E04DE-8F61-467B-B233-A3EA5ACC366C}"/>
    <cellStyle name="40% - Accent4 2 2 2 7" xfId="4580" xr:uid="{00000000-0005-0000-0000-0000B7050000}"/>
    <cellStyle name="40% - Accent4 2 2 2 7 2" xfId="13022" xr:uid="{53CA076D-B8EF-4D06-9E09-58F2C5878EA6}"/>
    <cellStyle name="40% - Accent4 2 2 2 8" xfId="8804" xr:uid="{5DF3EE28-8A1F-47A3-8781-940DA3F97B0E}"/>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4555D354-2BCD-4047-8B8A-5CBBAFF242D0}"/>
    <cellStyle name="40% - Accent4 2 2 3 2 3" xfId="11362" xr:uid="{5FBF8776-FDF1-4F93-B1A0-88AE2D6B63CB}"/>
    <cellStyle name="40% - Accent4 2 2 3 3" xfId="4993" xr:uid="{00000000-0005-0000-0000-0000BB050000}"/>
    <cellStyle name="40% - Accent4 2 2 3 3 2" xfId="13435" xr:uid="{90672B04-AE77-47C2-B6E7-DED6F921B6E8}"/>
    <cellStyle name="40% - Accent4 2 2 3 4" xfId="9217" xr:uid="{091AAD50-1B59-4E86-B9B9-04A908544526}"/>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F103EE7F-0F8F-43A2-853B-0DB53D9F85FC}"/>
    <cellStyle name="40% - Accent4 2 2 4 2 3" xfId="11775" xr:uid="{7409778B-574A-4FF0-BD42-0BE7C3441378}"/>
    <cellStyle name="40% - Accent4 2 2 4 3" xfId="5406" xr:uid="{00000000-0005-0000-0000-0000BF050000}"/>
    <cellStyle name="40% - Accent4 2 2 4 3 2" xfId="13848" xr:uid="{AEC942E9-47B8-497F-BDB2-BBD2B24A35B3}"/>
    <cellStyle name="40% - Accent4 2 2 4 4" xfId="9630" xr:uid="{63F7A8A1-538A-4B12-84CF-55C22F1735F1}"/>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7948E330-98BF-4FB9-9CF2-28CAF40531EC}"/>
    <cellStyle name="40% - Accent4 2 2 5 2 3" xfId="12188" xr:uid="{EC1A6F2D-0E1C-4BF4-B904-2FE124A6CBE8}"/>
    <cellStyle name="40% - Accent4 2 2 5 3" xfId="5819" xr:uid="{00000000-0005-0000-0000-0000C3050000}"/>
    <cellStyle name="40% - Accent4 2 2 5 3 2" xfId="14261" xr:uid="{FDEB4BA3-3399-4A3D-A564-56F202615D08}"/>
    <cellStyle name="40% - Accent4 2 2 5 4" xfId="10043" xr:uid="{C8D38579-A9F2-4E8D-ABA6-33BAD2E30423}"/>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999BAC1D-1D90-4412-B221-17C6430EF038}"/>
    <cellStyle name="40% - Accent4 2 2 6 2 3" xfId="12601" xr:uid="{F3428D69-3328-4829-8E5B-7310157F99B8}"/>
    <cellStyle name="40% - Accent4 2 2 6 3" xfId="6232" xr:uid="{00000000-0005-0000-0000-0000C7050000}"/>
    <cellStyle name="40% - Accent4 2 2 6 3 2" xfId="14674" xr:uid="{31D53C25-8EF2-4067-A58B-F8DF9F327FE7}"/>
    <cellStyle name="40% - Accent4 2 2 6 4" xfId="10456" xr:uid="{6EEB4287-F33E-478E-8A39-90E033992CE1}"/>
    <cellStyle name="40% - Accent4 2 2 7" xfId="2338" xr:uid="{00000000-0005-0000-0000-0000C8050000}"/>
    <cellStyle name="40% - Accent4 2 2 7 2" xfId="6645" xr:uid="{00000000-0005-0000-0000-0000C9050000}"/>
    <cellStyle name="40% - Accent4 2 2 7 2 2" xfId="15087" xr:uid="{D0371A6F-D2FD-403B-B3ED-489B66044056}"/>
    <cellStyle name="40% - Accent4 2 2 7 3" xfId="10869" xr:uid="{044CB7B2-AD42-476B-8B0D-FE51F0887C57}"/>
    <cellStyle name="40% - Accent4 2 2 8" xfId="4579" xr:uid="{00000000-0005-0000-0000-0000CA050000}"/>
    <cellStyle name="40% - Accent4 2 2 8 2" xfId="13021" xr:uid="{354F05DF-6CFC-4F15-BDBA-B70EDF80D0BB}"/>
    <cellStyle name="40% - Accent4 2 2 9" xfId="8803" xr:uid="{11CC468A-2CD1-4396-B9A5-F40C079D3E07}"/>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58F3355D-74C2-4545-BD43-8E76C1D3F0EF}"/>
    <cellStyle name="40% - Accent4 2 3 2 2 3" xfId="11364" xr:uid="{941C97C0-0E59-4BD1-82DD-42D3E55970A9}"/>
    <cellStyle name="40% - Accent4 2 3 2 3" xfId="4995" xr:uid="{00000000-0005-0000-0000-0000CF050000}"/>
    <cellStyle name="40% - Accent4 2 3 2 3 2" xfId="13437" xr:uid="{4648EA02-0F3C-42C0-B7E3-16C3CD8C94F7}"/>
    <cellStyle name="40% - Accent4 2 3 2 4" xfId="9219" xr:uid="{B50B9E20-A8BD-4041-9BBB-4F57206142F0}"/>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370CCD82-B754-490A-B97A-7796586E0F34}"/>
    <cellStyle name="40% - Accent4 2 3 3 2 3" xfId="11777" xr:uid="{12C8507D-9C7E-4DAB-8F7F-7AAD6739DF3F}"/>
    <cellStyle name="40% - Accent4 2 3 3 3" xfId="5408" xr:uid="{00000000-0005-0000-0000-0000D3050000}"/>
    <cellStyle name="40% - Accent4 2 3 3 3 2" xfId="13850" xr:uid="{D0F9F6F7-5170-4706-9A90-FB7C8292D06A}"/>
    <cellStyle name="40% - Accent4 2 3 3 4" xfId="9632" xr:uid="{D75E8416-8316-4B0D-BA46-E179DF504308}"/>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1807F081-96EC-4FD3-B860-69B53F2618D8}"/>
    <cellStyle name="40% - Accent4 2 3 4 2 3" xfId="12190" xr:uid="{51F3C332-655A-4585-B909-826B47EE6923}"/>
    <cellStyle name="40% - Accent4 2 3 4 3" xfId="5821" xr:uid="{00000000-0005-0000-0000-0000D7050000}"/>
    <cellStyle name="40% - Accent4 2 3 4 3 2" xfId="14263" xr:uid="{13B72237-91E9-4951-ABFA-7C7D9CA5C462}"/>
    <cellStyle name="40% - Accent4 2 3 4 4" xfId="10045" xr:uid="{D1AEB211-38CB-41FA-A66A-E9AD584F8730}"/>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7C5CF0C8-E17F-4F8A-B1BE-741C8014EDA5}"/>
    <cellStyle name="40% - Accent4 2 3 5 2 3" xfId="12603" xr:uid="{E381EDC5-7F66-4ED7-A07E-7C2AAB419EB0}"/>
    <cellStyle name="40% - Accent4 2 3 5 3" xfId="6234" xr:uid="{00000000-0005-0000-0000-0000DB050000}"/>
    <cellStyle name="40% - Accent4 2 3 5 3 2" xfId="14676" xr:uid="{1C3185D7-FCDA-4DF9-9548-68A9DB597041}"/>
    <cellStyle name="40% - Accent4 2 3 5 4" xfId="10458" xr:uid="{FA45859E-C125-4670-841D-402132762C62}"/>
    <cellStyle name="40% - Accent4 2 3 6" xfId="2340" xr:uid="{00000000-0005-0000-0000-0000DC050000}"/>
    <cellStyle name="40% - Accent4 2 3 6 2" xfId="6647" xr:uid="{00000000-0005-0000-0000-0000DD050000}"/>
    <cellStyle name="40% - Accent4 2 3 6 2 2" xfId="15089" xr:uid="{3077A4FA-531A-47DD-B5ED-DE2372A6157A}"/>
    <cellStyle name="40% - Accent4 2 3 6 3" xfId="10871" xr:uid="{2C087984-649D-4DD0-B697-3358FFA35E69}"/>
    <cellStyle name="40% - Accent4 2 3 7" xfId="4581" xr:uid="{00000000-0005-0000-0000-0000DE050000}"/>
    <cellStyle name="40% - Accent4 2 3 7 2" xfId="13023" xr:uid="{6CBB5AD1-5D64-4F50-9F1C-1977A02C0D6C}"/>
    <cellStyle name="40% - Accent4 2 3 8" xfId="8805" xr:uid="{0ED53345-0BB0-4BD4-96D7-0AF233815A88}"/>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F8E679CC-5D80-4162-95D3-04885B80669B}"/>
    <cellStyle name="40% - Accent4 2 4 2 3" xfId="11361" xr:uid="{9D01CD67-578A-405A-B041-C6D9332B0DA2}"/>
    <cellStyle name="40% - Accent4 2 4 3" xfId="4992" xr:uid="{00000000-0005-0000-0000-0000E2050000}"/>
    <cellStyle name="40% - Accent4 2 4 3 2" xfId="13434" xr:uid="{5C492E57-94F7-4307-850C-44558E0B7EC4}"/>
    <cellStyle name="40% - Accent4 2 4 4" xfId="9216" xr:uid="{37821BDF-9770-4943-B48E-97A41510E72D}"/>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8C3611A6-D77F-444C-8CD6-13BF1AADF4A9}"/>
    <cellStyle name="40% - Accent4 2 5 2 3" xfId="11774" xr:uid="{ABDF9FA6-D38A-4E90-973B-FE1280111AFF}"/>
    <cellStyle name="40% - Accent4 2 5 3" xfId="5405" xr:uid="{00000000-0005-0000-0000-0000E6050000}"/>
    <cellStyle name="40% - Accent4 2 5 3 2" xfId="13847" xr:uid="{4206A615-76E4-434B-AD3E-615C9EEB9E64}"/>
    <cellStyle name="40% - Accent4 2 5 4" xfId="9629" xr:uid="{16002284-3256-4120-AAB8-646321A02471}"/>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289EE963-174A-4990-82FA-35FF8B0265E8}"/>
    <cellStyle name="40% - Accent4 2 6 2 3" xfId="12187" xr:uid="{918E5339-395F-4175-941D-2897DEAA67FD}"/>
    <cellStyle name="40% - Accent4 2 6 3" xfId="5818" xr:uid="{00000000-0005-0000-0000-0000EA050000}"/>
    <cellStyle name="40% - Accent4 2 6 3 2" xfId="14260" xr:uid="{DB9A465A-A056-4CA0-A095-3D054E068FFF}"/>
    <cellStyle name="40% - Accent4 2 6 4" xfId="10042" xr:uid="{6D869AAD-9F47-4787-87EF-B6DC91FF1E7B}"/>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0DF66514-2F89-43F1-BF06-00F34F263422}"/>
    <cellStyle name="40% - Accent4 2 7 2 3" xfId="12600" xr:uid="{8D502102-70A2-4990-A3A0-8FB0A86D6D5F}"/>
    <cellStyle name="40% - Accent4 2 7 3" xfId="6231" xr:uid="{00000000-0005-0000-0000-0000EE050000}"/>
    <cellStyle name="40% - Accent4 2 7 3 2" xfId="14673" xr:uid="{28137097-9902-40BD-9EE1-0AA3257B151A}"/>
    <cellStyle name="40% - Accent4 2 7 4" xfId="10455" xr:uid="{0F04C27A-B6B1-4F86-A828-55278CA1E911}"/>
    <cellStyle name="40% - Accent4 2 8" xfId="2337" xr:uid="{00000000-0005-0000-0000-0000EF050000}"/>
    <cellStyle name="40% - Accent4 2 8 2" xfId="6644" xr:uid="{00000000-0005-0000-0000-0000F0050000}"/>
    <cellStyle name="40% - Accent4 2 8 2 2" xfId="15086" xr:uid="{0D6EC05A-A7ED-4564-A26E-77060E3CCB27}"/>
    <cellStyle name="40% - Accent4 2 8 3" xfId="10868" xr:uid="{2D2614FD-63BE-4A59-BDDA-7F37402F7E08}"/>
    <cellStyle name="40% - Accent4 2 9" xfId="4578" xr:uid="{00000000-0005-0000-0000-0000F1050000}"/>
    <cellStyle name="40% - Accent4 2 9 2" xfId="13020" xr:uid="{F495C328-4543-4391-80DD-E8AC00F08588}"/>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DE48DA9E-AD9E-470B-8BBD-CC117C63D10B}"/>
    <cellStyle name="40% - Accent4 3 2 2 2 3" xfId="11366" xr:uid="{E7822C69-BC19-4070-BA0F-5D436E9DE50B}"/>
    <cellStyle name="40% - Accent4 3 2 2 3" xfId="4997" xr:uid="{00000000-0005-0000-0000-0000F7050000}"/>
    <cellStyle name="40% - Accent4 3 2 2 3 2" xfId="13439" xr:uid="{4CEF9BC4-F101-4178-BA71-F02EE0D13C31}"/>
    <cellStyle name="40% - Accent4 3 2 2 4" xfId="9221" xr:uid="{6A886788-D4A1-40B2-BEBF-D83AD2573B71}"/>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C7A93582-00CA-4EDE-AA74-B2BCA1368F5A}"/>
    <cellStyle name="40% - Accent4 3 2 3 2 3" xfId="11779" xr:uid="{613210AD-6EA5-41F9-BDCB-679112D79572}"/>
    <cellStyle name="40% - Accent4 3 2 3 3" xfId="5410" xr:uid="{00000000-0005-0000-0000-0000FB050000}"/>
    <cellStyle name="40% - Accent4 3 2 3 3 2" xfId="13852" xr:uid="{7FC79043-CAD2-4412-A43F-B444BF9460FC}"/>
    <cellStyle name="40% - Accent4 3 2 3 4" xfId="9634" xr:uid="{28468017-6DBA-4549-B03A-8F6DA31189E1}"/>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910F549C-9DFF-4AC6-ABB2-0A312B6E3487}"/>
    <cellStyle name="40% - Accent4 3 2 4 2 3" xfId="12192" xr:uid="{441E7642-F861-432F-B4CB-A2FC51F12A64}"/>
    <cellStyle name="40% - Accent4 3 2 4 3" xfId="5823" xr:uid="{00000000-0005-0000-0000-0000FF050000}"/>
    <cellStyle name="40% - Accent4 3 2 4 3 2" xfId="14265" xr:uid="{13387F68-FB53-4146-B28E-1D514665BA8D}"/>
    <cellStyle name="40% - Accent4 3 2 4 4" xfId="10047" xr:uid="{4E6A55F5-1948-4950-B170-A4371A77F49C}"/>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A87EC8AF-4E4F-4AA3-83DB-429F7811231E}"/>
    <cellStyle name="40% - Accent4 3 2 5 2 3" xfId="12605" xr:uid="{A16A66C8-ACD5-4C65-9E9B-393A511E5456}"/>
    <cellStyle name="40% - Accent4 3 2 5 3" xfId="6236" xr:uid="{00000000-0005-0000-0000-000003060000}"/>
    <cellStyle name="40% - Accent4 3 2 5 3 2" xfId="14678" xr:uid="{16C3C65D-E2BE-418E-9D70-2DB21802B872}"/>
    <cellStyle name="40% - Accent4 3 2 5 4" xfId="10460" xr:uid="{8080EEBD-6AA0-40F7-91DC-797CE922FA3C}"/>
    <cellStyle name="40% - Accent4 3 2 6" xfId="2342" xr:uid="{00000000-0005-0000-0000-000004060000}"/>
    <cellStyle name="40% - Accent4 3 2 6 2" xfId="6649" xr:uid="{00000000-0005-0000-0000-000005060000}"/>
    <cellStyle name="40% - Accent4 3 2 6 2 2" xfId="15091" xr:uid="{BDE59257-53F4-477A-8ACD-DCDBF42AEEA9}"/>
    <cellStyle name="40% - Accent4 3 2 6 3" xfId="10873" xr:uid="{2902E6B4-83A3-446A-AE0F-448B1B03A387}"/>
    <cellStyle name="40% - Accent4 3 2 7" xfId="4583" xr:uid="{00000000-0005-0000-0000-000006060000}"/>
    <cellStyle name="40% - Accent4 3 2 7 2" xfId="13025" xr:uid="{C8164D46-06F2-4617-8D7B-BA3B26020703}"/>
    <cellStyle name="40% - Accent4 3 2 8" xfId="8807" xr:uid="{CE61B078-CF84-48B5-944D-75283FC19168}"/>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97B5E9BC-CAB2-4957-A03E-5B52FDEFD16D}"/>
    <cellStyle name="40% - Accent4 3 3 2 3" xfId="11365" xr:uid="{F5DBD24F-4064-4EA8-A5D1-64738E5C2123}"/>
    <cellStyle name="40% - Accent4 3 3 3" xfId="4996" xr:uid="{00000000-0005-0000-0000-00000A060000}"/>
    <cellStyle name="40% - Accent4 3 3 3 2" xfId="13438" xr:uid="{08F6FCA6-3CE4-4B2A-94D1-D70AD3338A6F}"/>
    <cellStyle name="40% - Accent4 3 3 4" xfId="9220" xr:uid="{896ABB70-8738-4A3C-B336-84094F317260}"/>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3564FD5F-80F3-4C48-ABF8-C2EABF9A27D2}"/>
    <cellStyle name="40% - Accent4 3 4 2 3" xfId="11778" xr:uid="{7EEA1959-3341-4A62-AF35-30F1E080723A}"/>
    <cellStyle name="40% - Accent4 3 4 3" xfId="5409" xr:uid="{00000000-0005-0000-0000-00000E060000}"/>
    <cellStyle name="40% - Accent4 3 4 3 2" xfId="13851" xr:uid="{3F5065D3-3D83-4FF4-B47C-02E20A6CE3BA}"/>
    <cellStyle name="40% - Accent4 3 4 4" xfId="9633" xr:uid="{00BAFE2B-9C80-4083-B356-10452EA74DE7}"/>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E7323060-E4AD-46E8-A021-B88C4D561B69}"/>
    <cellStyle name="40% - Accent4 3 5 2 3" xfId="12191" xr:uid="{F17E7E12-D840-43F0-AA81-0BA50A184A4C}"/>
    <cellStyle name="40% - Accent4 3 5 3" xfId="5822" xr:uid="{00000000-0005-0000-0000-000012060000}"/>
    <cellStyle name="40% - Accent4 3 5 3 2" xfId="14264" xr:uid="{C442487E-3A5D-40C5-AB55-168948753C4F}"/>
    <cellStyle name="40% - Accent4 3 5 4" xfId="10046" xr:uid="{D7C51AD5-3016-4263-A2BE-C651BDB58948}"/>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B325755B-6733-4E1D-ACD1-A6C5508EC4A8}"/>
    <cellStyle name="40% - Accent4 3 6 2 3" xfId="12604" xr:uid="{476B0227-EEAB-44AE-9AFF-0A463689FEA7}"/>
    <cellStyle name="40% - Accent4 3 6 3" xfId="6235" xr:uid="{00000000-0005-0000-0000-000016060000}"/>
    <cellStyle name="40% - Accent4 3 6 3 2" xfId="14677" xr:uid="{4E63EBA6-7327-489E-A6F2-4A8AC2395EC7}"/>
    <cellStyle name="40% - Accent4 3 6 4" xfId="10459" xr:uid="{55671F5D-17A9-48BD-8924-C366EA368CAC}"/>
    <cellStyle name="40% - Accent4 3 7" xfId="2341" xr:uid="{00000000-0005-0000-0000-000017060000}"/>
    <cellStyle name="40% - Accent4 3 7 2" xfId="6648" xr:uid="{00000000-0005-0000-0000-000018060000}"/>
    <cellStyle name="40% - Accent4 3 7 2 2" xfId="15090" xr:uid="{2586782F-31A1-4645-82E1-D7D549431B6C}"/>
    <cellStyle name="40% - Accent4 3 7 3" xfId="10872" xr:uid="{468ABE8F-D28D-4290-9BE7-5262E491FC65}"/>
    <cellStyle name="40% - Accent4 3 8" xfId="4582" xr:uid="{00000000-0005-0000-0000-000019060000}"/>
    <cellStyle name="40% - Accent4 3 8 2" xfId="13024" xr:uid="{907873AC-38C0-4C77-A952-14C5B3DBA89D}"/>
    <cellStyle name="40% - Accent4 3 9" xfId="8806" xr:uid="{1CD591F5-B4DB-4EFB-A04D-9F0AF223DC44}"/>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C6DC2C0D-07B6-4823-82A5-F92D81A50274}"/>
    <cellStyle name="40% - Accent4 4 2 2 3" xfId="11367" xr:uid="{8DF3B43D-1874-48FC-813C-F9BD21F9DD8A}"/>
    <cellStyle name="40% - Accent4 4 2 3" xfId="4998" xr:uid="{00000000-0005-0000-0000-00001E060000}"/>
    <cellStyle name="40% - Accent4 4 2 3 2" xfId="13440" xr:uid="{4FFD3196-E4AB-4B5D-837C-FDB87C249CCE}"/>
    <cellStyle name="40% - Accent4 4 2 4" xfId="9222" xr:uid="{FA41480F-5059-449A-88DD-61F4DEDFDBF6}"/>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9A8B0A36-356D-4D63-8782-A95BB424D899}"/>
    <cellStyle name="40% - Accent4 4 3 2 3" xfId="11780" xr:uid="{36DECEE0-9809-4846-B0AD-F8B695BE19D7}"/>
    <cellStyle name="40% - Accent4 4 3 3" xfId="5411" xr:uid="{00000000-0005-0000-0000-000022060000}"/>
    <cellStyle name="40% - Accent4 4 3 3 2" xfId="13853" xr:uid="{2D873E64-5300-4D7B-9E27-64D6AD8EACFB}"/>
    <cellStyle name="40% - Accent4 4 3 4" xfId="9635" xr:uid="{5FA06D27-3CF5-4AEA-BFFD-E8007D86FE83}"/>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2F537E2A-7B3D-4753-8415-1ECB64BA77F1}"/>
    <cellStyle name="40% - Accent4 4 4 2 3" xfId="12193" xr:uid="{56647C82-41B0-4337-9E1D-48CD91895C0A}"/>
    <cellStyle name="40% - Accent4 4 4 3" xfId="5824" xr:uid="{00000000-0005-0000-0000-000026060000}"/>
    <cellStyle name="40% - Accent4 4 4 3 2" xfId="14266" xr:uid="{25D9AD09-E43A-4CB7-9E88-CDB524F9129C}"/>
    <cellStyle name="40% - Accent4 4 4 4" xfId="10048" xr:uid="{46470F5D-2F5D-4A64-A9E8-C331C9D01280}"/>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8DD39546-2FC4-4A21-9EB9-2A762B8D35B9}"/>
    <cellStyle name="40% - Accent4 4 5 2 3" xfId="12606" xr:uid="{BEC40333-88A8-4D71-B8DD-F86F052AC7E1}"/>
    <cellStyle name="40% - Accent4 4 5 3" xfId="6237" xr:uid="{00000000-0005-0000-0000-00002A060000}"/>
    <cellStyle name="40% - Accent4 4 5 3 2" xfId="14679" xr:uid="{EA20E507-1CB7-4FA4-91E2-36F3FC5C48EE}"/>
    <cellStyle name="40% - Accent4 4 5 4" xfId="10461" xr:uid="{E960A6E6-96D5-48F2-B3B8-C049422954D4}"/>
    <cellStyle name="40% - Accent4 4 6" xfId="2343" xr:uid="{00000000-0005-0000-0000-00002B060000}"/>
    <cellStyle name="40% - Accent4 4 6 2" xfId="6650" xr:uid="{00000000-0005-0000-0000-00002C060000}"/>
    <cellStyle name="40% - Accent4 4 6 2 2" xfId="15092" xr:uid="{F4ED650C-8A7C-4B7A-BD34-D63E044811A1}"/>
    <cellStyle name="40% - Accent4 4 6 3" xfId="10874" xr:uid="{70DE452F-820B-496B-9D26-AD01AE6F9AF2}"/>
    <cellStyle name="40% - Accent4 4 7" xfId="4584" xr:uid="{00000000-0005-0000-0000-00002D060000}"/>
    <cellStyle name="40% - Accent4 4 7 2" xfId="13026" xr:uid="{8961FA6D-7469-45AF-BD4E-3CA05C7B988E}"/>
    <cellStyle name="40% - Accent4 4 8" xfId="8808" xr:uid="{BCB36DDB-4938-47B3-BE5D-AB1F2275DF42}"/>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1577AA88-4C7C-409D-A619-9C84DBCA03AC}"/>
    <cellStyle name="40% - Accent4 5 2 3" xfId="11360" xr:uid="{AC006C0A-D2B5-4C64-8334-8579F132CA21}"/>
    <cellStyle name="40% - Accent4 5 3" xfId="4991" xr:uid="{00000000-0005-0000-0000-000031060000}"/>
    <cellStyle name="40% - Accent4 5 3 2" xfId="13433" xr:uid="{7B8C7418-020A-4D7A-8218-A33A67128025}"/>
    <cellStyle name="40% - Accent4 5 4" xfId="9215" xr:uid="{C9AE7F0B-5553-433A-B5A0-62268816B311}"/>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75127B9C-C4D7-42AC-8C1D-915469AB2325}"/>
    <cellStyle name="40% - Accent4 6 2 3" xfId="11773" xr:uid="{1667DB69-BD01-45D7-A1D6-842BAC992B4B}"/>
    <cellStyle name="40% - Accent4 6 3" xfId="5404" xr:uid="{00000000-0005-0000-0000-000035060000}"/>
    <cellStyle name="40% - Accent4 6 3 2" xfId="13846" xr:uid="{A0DCA5C1-AFE3-4DBF-B0B0-6245E0D2DBBA}"/>
    <cellStyle name="40% - Accent4 6 4" xfId="9628" xr:uid="{F2AA5229-E24F-408E-A21B-605ABFC5D0CF}"/>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1861682C-6A0F-4623-8D74-792AB0D10EBD}"/>
    <cellStyle name="40% - Accent4 7 2 3" xfId="12186" xr:uid="{7AE57C8D-9D70-4DE0-92CB-7D90C2D31779}"/>
    <cellStyle name="40% - Accent4 7 3" xfId="5817" xr:uid="{00000000-0005-0000-0000-000039060000}"/>
    <cellStyle name="40% - Accent4 7 3 2" xfId="14259" xr:uid="{5700B83D-C90D-4F17-9452-B7552998DA4E}"/>
    <cellStyle name="40% - Accent4 7 4" xfId="10041" xr:uid="{9D71F476-B814-4C13-8D9C-686FCE7FCCC0}"/>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1E29E029-D0A2-4CFC-8E30-E4015F6FDEE8}"/>
    <cellStyle name="40% - Accent4 8 2 3" xfId="12599" xr:uid="{76009ECA-DB34-476F-8FF5-D61EEF427555}"/>
    <cellStyle name="40% - Accent4 8 3" xfId="6230" xr:uid="{00000000-0005-0000-0000-00003D060000}"/>
    <cellStyle name="40% - Accent4 8 3 2" xfId="14672" xr:uid="{9D054474-247F-48FF-BD9A-06016F29BC8B}"/>
    <cellStyle name="40% - Accent4 8 4" xfId="10454" xr:uid="{C99AD7D3-ECF8-4BF9-8E76-D9933BA1CA00}"/>
    <cellStyle name="40% - Accent4 9" xfId="2336" xr:uid="{00000000-0005-0000-0000-00003E060000}"/>
    <cellStyle name="40% - Accent4 9 2" xfId="6643" xr:uid="{00000000-0005-0000-0000-00003F060000}"/>
    <cellStyle name="40% - Accent4 9 2 2" xfId="15085" xr:uid="{F57971EE-C374-4319-BF92-CCCE9EAA1AFE}"/>
    <cellStyle name="40% - Accent4 9 3" xfId="10867" xr:uid="{5C37F260-DAEC-4C0A-934B-B3705E20F807}"/>
    <cellStyle name="40% - Accent5" xfId="81" builtinId="47" customBuiltin="1"/>
    <cellStyle name="40% - Accent5 10" xfId="4585" xr:uid="{00000000-0005-0000-0000-000041060000}"/>
    <cellStyle name="40% - Accent5 10 2" xfId="13027" xr:uid="{0B082F56-CBD4-47D7-8326-B4F116D3D892}"/>
    <cellStyle name="40% - Accent5 11" xfId="8809" xr:uid="{D97FD227-1189-48AE-9563-0B1FE166AFC0}"/>
    <cellStyle name="40% - Accent5 2" xfId="82" xr:uid="{00000000-0005-0000-0000-000042060000}"/>
    <cellStyle name="40% - Accent5 2 10" xfId="8810" xr:uid="{BD789B10-3897-4298-B427-4BB41C5B778A}"/>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C08AF57C-0A29-4B22-9F29-02E7221C13FF}"/>
    <cellStyle name="40% - Accent5 2 2 2 2 2 3" xfId="11371" xr:uid="{1588612A-D5DA-4757-9FF8-CA3F67F1D279}"/>
    <cellStyle name="40% - Accent5 2 2 2 2 3" xfId="5002" xr:uid="{00000000-0005-0000-0000-000048060000}"/>
    <cellStyle name="40% - Accent5 2 2 2 2 3 2" xfId="13444" xr:uid="{B46B3B16-DB67-46A8-8992-1A60952BF79A}"/>
    <cellStyle name="40% - Accent5 2 2 2 2 4" xfId="9226" xr:uid="{2526B671-E19A-483C-BF85-79A7989E6A11}"/>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DA37EDFE-F69F-4E74-A2F5-5EF89FB0DD41}"/>
    <cellStyle name="40% - Accent5 2 2 2 3 2 3" xfId="11784" xr:uid="{815D14D1-9AB7-489F-914E-DD917A553DD4}"/>
    <cellStyle name="40% - Accent5 2 2 2 3 3" xfId="5415" xr:uid="{00000000-0005-0000-0000-00004C060000}"/>
    <cellStyle name="40% - Accent5 2 2 2 3 3 2" xfId="13857" xr:uid="{C595CF16-DE6B-42CD-86EB-0B601E0B41AF}"/>
    <cellStyle name="40% - Accent5 2 2 2 3 4" xfId="9639" xr:uid="{48B6C343-0E27-47C4-A00F-482BF82C83C8}"/>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A1339635-E795-4F23-9468-7B1B667BFEA2}"/>
    <cellStyle name="40% - Accent5 2 2 2 4 2 3" xfId="12197" xr:uid="{E8448052-553E-4B9E-946A-2F08D886EB17}"/>
    <cellStyle name="40% - Accent5 2 2 2 4 3" xfId="5828" xr:uid="{00000000-0005-0000-0000-000050060000}"/>
    <cellStyle name="40% - Accent5 2 2 2 4 3 2" xfId="14270" xr:uid="{E59CE7AB-8AC8-4605-A5BD-9ADD0770C1A1}"/>
    <cellStyle name="40% - Accent5 2 2 2 4 4" xfId="10052" xr:uid="{CC892C07-5549-4CC9-9EA3-205A91F3212B}"/>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694D8900-614D-4932-90E1-5F886625DFF2}"/>
    <cellStyle name="40% - Accent5 2 2 2 5 2 3" xfId="12610" xr:uid="{618C9E31-069D-4396-8637-6DC0986E9CBE}"/>
    <cellStyle name="40% - Accent5 2 2 2 5 3" xfId="6241" xr:uid="{00000000-0005-0000-0000-000054060000}"/>
    <cellStyle name="40% - Accent5 2 2 2 5 3 2" xfId="14683" xr:uid="{0789C687-1771-49D8-AF79-687497EECDAF}"/>
    <cellStyle name="40% - Accent5 2 2 2 5 4" xfId="10465" xr:uid="{93E8CB5F-D2D3-48D8-85FD-768581E25A92}"/>
    <cellStyle name="40% - Accent5 2 2 2 6" xfId="2347" xr:uid="{00000000-0005-0000-0000-000055060000}"/>
    <cellStyle name="40% - Accent5 2 2 2 6 2" xfId="6654" xr:uid="{00000000-0005-0000-0000-000056060000}"/>
    <cellStyle name="40% - Accent5 2 2 2 6 2 2" xfId="15096" xr:uid="{3BD50651-4DC8-4B69-84D5-FD5D3C8D968D}"/>
    <cellStyle name="40% - Accent5 2 2 2 6 3" xfId="10878" xr:uid="{EB40D326-838D-409A-B81C-A708CBD0019D}"/>
    <cellStyle name="40% - Accent5 2 2 2 7" xfId="4588" xr:uid="{00000000-0005-0000-0000-000057060000}"/>
    <cellStyle name="40% - Accent5 2 2 2 7 2" xfId="13030" xr:uid="{43B2867F-49C3-42D6-BEDC-011DD4830692}"/>
    <cellStyle name="40% - Accent5 2 2 2 8" xfId="8812" xr:uid="{4B01A882-9415-4A34-A330-5BAABCD12265}"/>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E36CBCE5-081A-473E-AFC4-D5F50367BABA}"/>
    <cellStyle name="40% - Accent5 2 2 3 2 3" xfId="11370" xr:uid="{243A0836-C894-45A6-BC9A-A6FC7A093C34}"/>
    <cellStyle name="40% - Accent5 2 2 3 3" xfId="5001" xr:uid="{00000000-0005-0000-0000-00005B060000}"/>
    <cellStyle name="40% - Accent5 2 2 3 3 2" xfId="13443" xr:uid="{40CFC176-A3C9-475F-9949-97D6B87BC36C}"/>
    <cellStyle name="40% - Accent5 2 2 3 4" xfId="9225" xr:uid="{B4A5FC49-2CBE-4C44-941C-B72B0D6C75B8}"/>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3D55A53D-CF3E-47C6-B227-B8BF6415120C}"/>
    <cellStyle name="40% - Accent5 2 2 4 2 3" xfId="11783" xr:uid="{487547EF-EC39-4F69-B57F-628E5E9FA2E5}"/>
    <cellStyle name="40% - Accent5 2 2 4 3" xfId="5414" xr:uid="{00000000-0005-0000-0000-00005F060000}"/>
    <cellStyle name="40% - Accent5 2 2 4 3 2" xfId="13856" xr:uid="{8F00CDA7-2131-4D5B-B136-5E9841EF5A60}"/>
    <cellStyle name="40% - Accent5 2 2 4 4" xfId="9638" xr:uid="{F04A47A8-38F4-4FA0-B27C-B10A71D60F7D}"/>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FB82C802-557F-4742-9D46-8623FD931FB7}"/>
    <cellStyle name="40% - Accent5 2 2 5 2 3" xfId="12196" xr:uid="{E601E34F-4C55-494D-911E-A9A6B820DD2B}"/>
    <cellStyle name="40% - Accent5 2 2 5 3" xfId="5827" xr:uid="{00000000-0005-0000-0000-000063060000}"/>
    <cellStyle name="40% - Accent5 2 2 5 3 2" xfId="14269" xr:uid="{4A4E26B0-982A-42D2-A4F5-22BA78ABADD3}"/>
    <cellStyle name="40% - Accent5 2 2 5 4" xfId="10051" xr:uid="{8DCB962D-B0F8-4DA5-8672-1E39F261BF4F}"/>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CC533262-4868-4C04-8DA4-D8623AB4C3AE}"/>
    <cellStyle name="40% - Accent5 2 2 6 2 3" xfId="12609" xr:uid="{860E5372-3126-4213-835A-A297C70BD8E0}"/>
    <cellStyle name="40% - Accent5 2 2 6 3" xfId="6240" xr:uid="{00000000-0005-0000-0000-000067060000}"/>
    <cellStyle name="40% - Accent5 2 2 6 3 2" xfId="14682" xr:uid="{3E7594C6-40F6-4902-8DBE-7C52D2FB82C1}"/>
    <cellStyle name="40% - Accent5 2 2 6 4" xfId="10464" xr:uid="{0B05E437-C11D-434C-A5BD-A9F3A132D386}"/>
    <cellStyle name="40% - Accent5 2 2 7" xfId="2346" xr:uid="{00000000-0005-0000-0000-000068060000}"/>
    <cellStyle name="40% - Accent5 2 2 7 2" xfId="6653" xr:uid="{00000000-0005-0000-0000-000069060000}"/>
    <cellStyle name="40% - Accent5 2 2 7 2 2" xfId="15095" xr:uid="{E9FD51F7-42B7-4CF4-A5C0-6C9B8617A855}"/>
    <cellStyle name="40% - Accent5 2 2 7 3" xfId="10877" xr:uid="{B2D5A099-B3F9-4DEB-9C97-2D833EBFF4E7}"/>
    <cellStyle name="40% - Accent5 2 2 8" xfId="4587" xr:uid="{00000000-0005-0000-0000-00006A060000}"/>
    <cellStyle name="40% - Accent5 2 2 8 2" xfId="13029" xr:uid="{3013A131-12A7-4BE6-8632-047AB3A59DDE}"/>
    <cellStyle name="40% - Accent5 2 2 9" xfId="8811" xr:uid="{3D9DAF3B-8402-4181-86F5-E1497FE28E37}"/>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9C3ECB75-089E-4E92-9F99-E0673932A487}"/>
    <cellStyle name="40% - Accent5 2 3 2 2 3" xfId="11372" xr:uid="{495A7DE9-09FA-414F-B470-82E3A7BA8B08}"/>
    <cellStyle name="40% - Accent5 2 3 2 3" xfId="5003" xr:uid="{00000000-0005-0000-0000-00006F060000}"/>
    <cellStyle name="40% - Accent5 2 3 2 3 2" xfId="13445" xr:uid="{A7A0BB9A-D040-4FCD-A104-483F35E4DD45}"/>
    <cellStyle name="40% - Accent5 2 3 2 4" xfId="9227" xr:uid="{F5AD0596-1C76-4F03-91F5-7B1AD4F1840D}"/>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E0FF6B8D-BF21-4492-AF93-E31583D93279}"/>
    <cellStyle name="40% - Accent5 2 3 3 2 3" xfId="11785" xr:uid="{ECD030C2-22A9-4AB6-B7B7-3CA27E5E15D7}"/>
    <cellStyle name="40% - Accent5 2 3 3 3" xfId="5416" xr:uid="{00000000-0005-0000-0000-000073060000}"/>
    <cellStyle name="40% - Accent5 2 3 3 3 2" xfId="13858" xr:uid="{94470CB3-FCEF-48C2-B966-5DC07E9B8995}"/>
    <cellStyle name="40% - Accent5 2 3 3 4" xfId="9640" xr:uid="{FE8E56D7-BB37-49DD-8D63-7432860A9465}"/>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51DF3827-FEED-47EA-8530-AB384D516977}"/>
    <cellStyle name="40% - Accent5 2 3 4 2 3" xfId="12198" xr:uid="{978AFF96-A5CA-45FF-A118-21AE0DD79F0E}"/>
    <cellStyle name="40% - Accent5 2 3 4 3" xfId="5829" xr:uid="{00000000-0005-0000-0000-000077060000}"/>
    <cellStyle name="40% - Accent5 2 3 4 3 2" xfId="14271" xr:uid="{5138734A-CD9B-4366-B9BE-DFA832CCE2BA}"/>
    <cellStyle name="40% - Accent5 2 3 4 4" xfId="10053" xr:uid="{65AD01E6-EA12-4C90-AF16-F6D704E2B0C2}"/>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47919161-5FA3-40BB-A509-0CA11780737E}"/>
    <cellStyle name="40% - Accent5 2 3 5 2 3" xfId="12611" xr:uid="{EED88948-2A53-4383-9BAD-1319FCFEFA53}"/>
    <cellStyle name="40% - Accent5 2 3 5 3" xfId="6242" xr:uid="{00000000-0005-0000-0000-00007B060000}"/>
    <cellStyle name="40% - Accent5 2 3 5 3 2" xfId="14684" xr:uid="{590DC542-589F-4D93-9646-38C75423C4EA}"/>
    <cellStyle name="40% - Accent5 2 3 5 4" xfId="10466" xr:uid="{E11CCCFE-7336-40E8-BEEC-35A41733751F}"/>
    <cellStyle name="40% - Accent5 2 3 6" xfId="2348" xr:uid="{00000000-0005-0000-0000-00007C060000}"/>
    <cellStyle name="40% - Accent5 2 3 6 2" xfId="6655" xr:uid="{00000000-0005-0000-0000-00007D060000}"/>
    <cellStyle name="40% - Accent5 2 3 6 2 2" xfId="15097" xr:uid="{59647DD9-35ED-4B4F-B156-57CBE142FE98}"/>
    <cellStyle name="40% - Accent5 2 3 6 3" xfId="10879" xr:uid="{3FB9BCEF-95DF-413D-A6D6-25044A7D49B6}"/>
    <cellStyle name="40% - Accent5 2 3 7" xfId="4589" xr:uid="{00000000-0005-0000-0000-00007E060000}"/>
    <cellStyle name="40% - Accent5 2 3 7 2" xfId="13031" xr:uid="{EFFAA95A-352C-4684-ACC4-572440505A17}"/>
    <cellStyle name="40% - Accent5 2 3 8" xfId="8813" xr:uid="{86C4C2C7-A056-4214-9C98-CB42B39A4073}"/>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58F2BDF4-4FF9-4B9C-BB25-36CE43005E57}"/>
    <cellStyle name="40% - Accent5 2 4 2 3" xfId="11369" xr:uid="{477B2910-D065-4DB2-816E-FA95C1808966}"/>
    <cellStyle name="40% - Accent5 2 4 3" xfId="5000" xr:uid="{00000000-0005-0000-0000-000082060000}"/>
    <cellStyle name="40% - Accent5 2 4 3 2" xfId="13442" xr:uid="{AA7BB47C-25DA-4FC8-8794-811499950CFF}"/>
    <cellStyle name="40% - Accent5 2 4 4" xfId="9224" xr:uid="{22CDE05D-5004-4BBF-95C0-9FE204D53EF5}"/>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918A70DD-8E42-4170-9217-C3CF4A23BD43}"/>
    <cellStyle name="40% - Accent5 2 5 2 3" xfId="11782" xr:uid="{05663B1A-CD05-4277-AAC4-3B4060102D20}"/>
    <cellStyle name="40% - Accent5 2 5 3" xfId="5413" xr:uid="{00000000-0005-0000-0000-000086060000}"/>
    <cellStyle name="40% - Accent5 2 5 3 2" xfId="13855" xr:uid="{ABCE09E8-64EA-44F3-8DA7-9360D2AF2E48}"/>
    <cellStyle name="40% - Accent5 2 5 4" xfId="9637" xr:uid="{16793324-9D16-4B75-9067-BA3C87656463}"/>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57EB34FF-02DF-460C-A51D-99A925075B95}"/>
    <cellStyle name="40% - Accent5 2 6 2 3" xfId="12195" xr:uid="{617EBEDE-9B1F-40A2-B540-BA1B14EE6D9B}"/>
    <cellStyle name="40% - Accent5 2 6 3" xfId="5826" xr:uid="{00000000-0005-0000-0000-00008A060000}"/>
    <cellStyle name="40% - Accent5 2 6 3 2" xfId="14268" xr:uid="{95BB53B3-AC69-4EA4-9020-EC4CA3593181}"/>
    <cellStyle name="40% - Accent5 2 6 4" xfId="10050" xr:uid="{E4522F0F-BB85-4223-BB6C-42BBE1A144A6}"/>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8B1A1640-73C7-4DE5-A844-296492EA557F}"/>
    <cellStyle name="40% - Accent5 2 7 2 3" xfId="12608" xr:uid="{F1198CBF-F8DF-4B0D-BDFB-BE20689D3C5D}"/>
    <cellStyle name="40% - Accent5 2 7 3" xfId="6239" xr:uid="{00000000-0005-0000-0000-00008E060000}"/>
    <cellStyle name="40% - Accent5 2 7 3 2" xfId="14681" xr:uid="{836E7CA6-750A-42A2-873E-0497B881116C}"/>
    <cellStyle name="40% - Accent5 2 7 4" xfId="10463" xr:uid="{2EEDF266-0911-4ABC-B0C7-1781E13117F6}"/>
    <cellStyle name="40% - Accent5 2 8" xfId="2345" xr:uid="{00000000-0005-0000-0000-00008F060000}"/>
    <cellStyle name="40% - Accent5 2 8 2" xfId="6652" xr:uid="{00000000-0005-0000-0000-000090060000}"/>
    <cellStyle name="40% - Accent5 2 8 2 2" xfId="15094" xr:uid="{0E5D9417-A6BA-44A7-83CF-3E3C5E2CAEBE}"/>
    <cellStyle name="40% - Accent5 2 8 3" xfId="10876" xr:uid="{B242197A-6AF1-4C54-B103-47809F9AB280}"/>
    <cellStyle name="40% - Accent5 2 9" xfId="4586" xr:uid="{00000000-0005-0000-0000-000091060000}"/>
    <cellStyle name="40% - Accent5 2 9 2" xfId="13028" xr:uid="{992C3118-5CA1-4ED2-B8BA-CB540CCAEECE}"/>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9E61B85E-D987-4A14-A9FD-85C2F39D0E5D}"/>
    <cellStyle name="40% - Accent5 3 2 2 2 3" xfId="11374" xr:uid="{817FE47B-5E9F-4B95-BC92-D2662343E0EB}"/>
    <cellStyle name="40% - Accent5 3 2 2 3" xfId="5005" xr:uid="{00000000-0005-0000-0000-000097060000}"/>
    <cellStyle name="40% - Accent5 3 2 2 3 2" xfId="13447" xr:uid="{5956EDE1-F9B9-418C-A064-07C1789F583D}"/>
    <cellStyle name="40% - Accent5 3 2 2 4" xfId="9229" xr:uid="{1A19EE6B-5BDB-48E2-9BFF-95E57EAF4F5B}"/>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E84CBCBC-3311-4C7D-B712-66F796A7810A}"/>
    <cellStyle name="40% - Accent5 3 2 3 2 3" xfId="11787" xr:uid="{3F3C40B6-E2E8-4349-AF28-DFB5BAC64B53}"/>
    <cellStyle name="40% - Accent5 3 2 3 3" xfId="5418" xr:uid="{00000000-0005-0000-0000-00009B060000}"/>
    <cellStyle name="40% - Accent5 3 2 3 3 2" xfId="13860" xr:uid="{41AA4381-7B09-4527-825C-0DC75269468C}"/>
    <cellStyle name="40% - Accent5 3 2 3 4" xfId="9642" xr:uid="{AE729B65-6DDE-4E59-AA79-849559DA9415}"/>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439FDA9A-A957-41DB-BD1F-D9327EB334D9}"/>
    <cellStyle name="40% - Accent5 3 2 4 2 3" xfId="12200" xr:uid="{DC81103D-50E4-4159-9CFE-5E7C2F5AFBCD}"/>
    <cellStyle name="40% - Accent5 3 2 4 3" xfId="5831" xr:uid="{00000000-0005-0000-0000-00009F060000}"/>
    <cellStyle name="40% - Accent5 3 2 4 3 2" xfId="14273" xr:uid="{F0C8FFDF-E86E-429F-A08C-C8438558385D}"/>
    <cellStyle name="40% - Accent5 3 2 4 4" xfId="10055" xr:uid="{57841E48-EE2C-4C99-B414-ECCEA589CF15}"/>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05F15CB1-E00B-4FA5-A56D-262CD90FFF0D}"/>
    <cellStyle name="40% - Accent5 3 2 5 2 3" xfId="12613" xr:uid="{E5A8672B-73EC-4364-AE9C-0305FBD06BE2}"/>
    <cellStyle name="40% - Accent5 3 2 5 3" xfId="6244" xr:uid="{00000000-0005-0000-0000-0000A3060000}"/>
    <cellStyle name="40% - Accent5 3 2 5 3 2" xfId="14686" xr:uid="{3B82DE13-B706-4FC5-8F68-C255F24DFD21}"/>
    <cellStyle name="40% - Accent5 3 2 5 4" xfId="10468" xr:uid="{60BC318E-A556-446D-8DA2-0E2B1E54EE51}"/>
    <cellStyle name="40% - Accent5 3 2 6" xfId="2350" xr:uid="{00000000-0005-0000-0000-0000A4060000}"/>
    <cellStyle name="40% - Accent5 3 2 6 2" xfId="6657" xr:uid="{00000000-0005-0000-0000-0000A5060000}"/>
    <cellStyle name="40% - Accent5 3 2 6 2 2" xfId="15099" xr:uid="{205A9579-057D-4F9F-B9BE-58E753BDDF1A}"/>
    <cellStyle name="40% - Accent5 3 2 6 3" xfId="10881" xr:uid="{3511E5E7-E542-4585-9A77-41142021F98E}"/>
    <cellStyle name="40% - Accent5 3 2 7" xfId="4591" xr:uid="{00000000-0005-0000-0000-0000A6060000}"/>
    <cellStyle name="40% - Accent5 3 2 7 2" xfId="13033" xr:uid="{0422F46B-95D3-4695-842D-B6C63CDFDB5B}"/>
    <cellStyle name="40% - Accent5 3 2 8" xfId="8815" xr:uid="{54446725-A694-4D1E-9C63-65BFF939C2E0}"/>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E5EAE6DE-7238-4743-B7AD-ADD33EB0A9B3}"/>
    <cellStyle name="40% - Accent5 3 3 2 3" xfId="11373" xr:uid="{95CE5D77-90F4-4484-8AED-975646F1A50D}"/>
    <cellStyle name="40% - Accent5 3 3 3" xfId="5004" xr:uid="{00000000-0005-0000-0000-0000AA060000}"/>
    <cellStyle name="40% - Accent5 3 3 3 2" xfId="13446" xr:uid="{CCB88874-7B4D-40CF-9F98-A88C648C3C98}"/>
    <cellStyle name="40% - Accent5 3 3 4" xfId="9228" xr:uid="{6572ED29-C377-4019-A7D5-B0AEAB4C2C58}"/>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7B314A7C-F9F5-41E3-A963-D338949D5A7E}"/>
    <cellStyle name="40% - Accent5 3 4 2 3" xfId="11786" xr:uid="{C0B655B2-BF39-4F4F-9117-8D8FCD65F3D7}"/>
    <cellStyle name="40% - Accent5 3 4 3" xfId="5417" xr:uid="{00000000-0005-0000-0000-0000AE060000}"/>
    <cellStyle name="40% - Accent5 3 4 3 2" xfId="13859" xr:uid="{978837D3-CC49-485E-927B-8B82E0AA5E97}"/>
    <cellStyle name="40% - Accent5 3 4 4" xfId="9641" xr:uid="{ADFA27C7-5CB6-4340-B591-6A3BCDB2FB0B}"/>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959B8C77-984D-4E47-81BE-E6326FD772A3}"/>
    <cellStyle name="40% - Accent5 3 5 2 3" xfId="12199" xr:uid="{E3CCC8C3-97C6-46B9-8CB0-CD5FED253538}"/>
    <cellStyle name="40% - Accent5 3 5 3" xfId="5830" xr:uid="{00000000-0005-0000-0000-0000B2060000}"/>
    <cellStyle name="40% - Accent5 3 5 3 2" xfId="14272" xr:uid="{969B515B-DD52-410F-B153-8B92DC2C4124}"/>
    <cellStyle name="40% - Accent5 3 5 4" xfId="10054" xr:uid="{57935821-A662-46F6-AD4D-05F431304EE7}"/>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13126019-5C22-4C19-9D8E-578E48050CBF}"/>
    <cellStyle name="40% - Accent5 3 6 2 3" xfId="12612" xr:uid="{93CA1035-72AE-4807-B90B-4E607141A2A9}"/>
    <cellStyle name="40% - Accent5 3 6 3" xfId="6243" xr:uid="{00000000-0005-0000-0000-0000B6060000}"/>
    <cellStyle name="40% - Accent5 3 6 3 2" xfId="14685" xr:uid="{6F77E7AF-5F9E-4312-AE86-32ED29877100}"/>
    <cellStyle name="40% - Accent5 3 6 4" xfId="10467" xr:uid="{6F1B3D15-7E9F-4833-862D-588A43FDD30B}"/>
    <cellStyle name="40% - Accent5 3 7" xfId="2349" xr:uid="{00000000-0005-0000-0000-0000B7060000}"/>
    <cellStyle name="40% - Accent5 3 7 2" xfId="6656" xr:uid="{00000000-0005-0000-0000-0000B8060000}"/>
    <cellStyle name="40% - Accent5 3 7 2 2" xfId="15098" xr:uid="{9AA52684-C1CA-481D-8850-80C198B4BB7D}"/>
    <cellStyle name="40% - Accent5 3 7 3" xfId="10880" xr:uid="{36637AC2-0D04-4100-AE64-87FCD8324902}"/>
    <cellStyle name="40% - Accent5 3 8" xfId="4590" xr:uid="{00000000-0005-0000-0000-0000B9060000}"/>
    <cellStyle name="40% - Accent5 3 8 2" xfId="13032" xr:uid="{CA5AD850-1E13-43EB-9E94-CCC8A77F2417}"/>
    <cellStyle name="40% - Accent5 3 9" xfId="8814" xr:uid="{84EE7483-E553-4994-ACD8-DCAC79ADCEE1}"/>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DD41594F-F1B9-4090-A74F-B2EF193BB5E3}"/>
    <cellStyle name="40% - Accent5 4 2 2 3" xfId="11375" xr:uid="{BB076506-AD19-4340-A911-132FF8E94305}"/>
    <cellStyle name="40% - Accent5 4 2 3" xfId="5006" xr:uid="{00000000-0005-0000-0000-0000BE060000}"/>
    <cellStyle name="40% - Accent5 4 2 3 2" xfId="13448" xr:uid="{41E80AF3-7909-42A5-8308-59DD05E38FA2}"/>
    <cellStyle name="40% - Accent5 4 2 4" xfId="9230" xr:uid="{BDEEB0E9-5640-45A4-A655-748D9E29E8CC}"/>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1CB725FF-F4CB-4AA1-B384-ABCB94F1FA25}"/>
    <cellStyle name="40% - Accent5 4 3 2 3" xfId="11788" xr:uid="{CE825807-426C-4DA0-A663-A3E05A407000}"/>
    <cellStyle name="40% - Accent5 4 3 3" xfId="5419" xr:uid="{00000000-0005-0000-0000-0000C2060000}"/>
    <cellStyle name="40% - Accent5 4 3 3 2" xfId="13861" xr:uid="{B8F1C3EC-99A9-4805-836A-03EAF7071B0A}"/>
    <cellStyle name="40% - Accent5 4 3 4" xfId="9643" xr:uid="{6929EFC9-A6B6-4560-801D-134077B957DD}"/>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1490F30D-AC86-4276-B075-FEDFE4AD8F03}"/>
    <cellStyle name="40% - Accent5 4 4 2 3" xfId="12201" xr:uid="{58D813D2-9E5C-4F6A-A3FF-31A3529552E1}"/>
    <cellStyle name="40% - Accent5 4 4 3" xfId="5832" xr:uid="{00000000-0005-0000-0000-0000C6060000}"/>
    <cellStyle name="40% - Accent5 4 4 3 2" xfId="14274" xr:uid="{D301A96C-A6D9-47F0-8187-AD18E13BDDE6}"/>
    <cellStyle name="40% - Accent5 4 4 4" xfId="10056" xr:uid="{DD7AA921-1951-4A07-948F-4D21DDC34FF6}"/>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D459E9F3-AC17-49CB-B536-904AE3AC4E74}"/>
    <cellStyle name="40% - Accent5 4 5 2 3" xfId="12614" xr:uid="{4EA95C13-554E-47AD-9794-6ECE05BF6315}"/>
    <cellStyle name="40% - Accent5 4 5 3" xfId="6245" xr:uid="{00000000-0005-0000-0000-0000CA060000}"/>
    <cellStyle name="40% - Accent5 4 5 3 2" xfId="14687" xr:uid="{EAED0AF6-BD68-47F1-8B99-C519C801FADD}"/>
    <cellStyle name="40% - Accent5 4 5 4" xfId="10469" xr:uid="{BF9BAFD7-3AD8-4262-AC4D-514D86CA206C}"/>
    <cellStyle name="40% - Accent5 4 6" xfId="2351" xr:uid="{00000000-0005-0000-0000-0000CB060000}"/>
    <cellStyle name="40% - Accent5 4 6 2" xfId="6658" xr:uid="{00000000-0005-0000-0000-0000CC060000}"/>
    <cellStyle name="40% - Accent5 4 6 2 2" xfId="15100" xr:uid="{0E53AA53-FAF0-400D-9D93-361920B30DEF}"/>
    <cellStyle name="40% - Accent5 4 6 3" xfId="10882" xr:uid="{18FD0AAD-5806-4DBD-835F-DFCD58F09FAF}"/>
    <cellStyle name="40% - Accent5 4 7" xfId="4592" xr:uid="{00000000-0005-0000-0000-0000CD060000}"/>
    <cellStyle name="40% - Accent5 4 7 2" xfId="13034" xr:uid="{7D5D4C9B-82CD-4DEC-8CF6-13BEB2101887}"/>
    <cellStyle name="40% - Accent5 4 8" xfId="8816" xr:uid="{53A26E40-8C72-44AF-B85D-D9ABEB9698D2}"/>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A82A86B9-CFC5-4DC9-A6A9-22777E84BFEA}"/>
    <cellStyle name="40% - Accent5 5 2 3" xfId="11368" xr:uid="{64A3339C-EFDB-45B6-968D-EBA004023C24}"/>
    <cellStyle name="40% - Accent5 5 3" xfId="4999" xr:uid="{00000000-0005-0000-0000-0000D1060000}"/>
    <cellStyle name="40% - Accent5 5 3 2" xfId="13441" xr:uid="{90B2D73B-5396-468B-8303-AA5A758442E1}"/>
    <cellStyle name="40% - Accent5 5 4" xfId="9223" xr:uid="{FBC7654D-CA8C-4FFC-A5F2-59C2E88CD469}"/>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7197D2F0-D97D-4906-B228-BFE4CFD3B995}"/>
    <cellStyle name="40% - Accent5 6 2 3" xfId="11781" xr:uid="{6D986083-84B3-4D37-86E3-47EEF2E6BBE7}"/>
    <cellStyle name="40% - Accent5 6 3" xfId="5412" xr:uid="{00000000-0005-0000-0000-0000D5060000}"/>
    <cellStyle name="40% - Accent5 6 3 2" xfId="13854" xr:uid="{5F26BCF8-80CC-4587-A4B3-C7E5318E511E}"/>
    <cellStyle name="40% - Accent5 6 4" xfId="9636" xr:uid="{AD06F170-544F-4E8C-A2FC-6C8870F76CFE}"/>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378FC2FC-8B62-4661-B766-1C6A4DC08C20}"/>
    <cellStyle name="40% - Accent5 7 2 3" xfId="12194" xr:uid="{6D59B369-C7D8-44D4-BD1E-9B4F63E14C50}"/>
    <cellStyle name="40% - Accent5 7 3" xfId="5825" xr:uid="{00000000-0005-0000-0000-0000D9060000}"/>
    <cellStyle name="40% - Accent5 7 3 2" xfId="14267" xr:uid="{65C943DF-02DF-43F0-AEA7-E5CF6B0A2DC9}"/>
    <cellStyle name="40% - Accent5 7 4" xfId="10049" xr:uid="{D3DBC22B-4EF8-4973-9595-25729798BB96}"/>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015102C5-211F-4E43-919B-4E39D813F12D}"/>
    <cellStyle name="40% - Accent5 8 2 3" xfId="12607" xr:uid="{EF48CA99-C438-483E-B36A-6F1C657CA638}"/>
    <cellStyle name="40% - Accent5 8 3" xfId="6238" xr:uid="{00000000-0005-0000-0000-0000DD060000}"/>
    <cellStyle name="40% - Accent5 8 3 2" xfId="14680" xr:uid="{0A4BC386-8ECA-4A86-B66F-795C38BF05A4}"/>
    <cellStyle name="40% - Accent5 8 4" xfId="10462" xr:uid="{5A1D07BD-A58B-4F2E-8970-00E44E21C002}"/>
    <cellStyle name="40% - Accent5 9" xfId="2344" xr:uid="{00000000-0005-0000-0000-0000DE060000}"/>
    <cellStyle name="40% - Accent5 9 2" xfId="6651" xr:uid="{00000000-0005-0000-0000-0000DF060000}"/>
    <cellStyle name="40% - Accent5 9 2 2" xfId="15093" xr:uid="{5A229D4B-263F-4C9B-94FB-653C93C9577B}"/>
    <cellStyle name="40% - Accent5 9 3" xfId="10875" xr:uid="{5084E4EA-9229-41D3-8ADA-C4318C661C5A}"/>
    <cellStyle name="40% - Accent6" xfId="89" builtinId="51" customBuiltin="1"/>
    <cellStyle name="40% - Accent6 10" xfId="4593" xr:uid="{00000000-0005-0000-0000-0000E1060000}"/>
    <cellStyle name="40% - Accent6 10 2" xfId="13035" xr:uid="{13347541-69C6-4FD4-9F56-CD1FF2AF0445}"/>
    <cellStyle name="40% - Accent6 11" xfId="8817" xr:uid="{4E69EB7C-AD6B-4F29-B670-3CCA05AE3126}"/>
    <cellStyle name="40% - Accent6 2" xfId="90" xr:uid="{00000000-0005-0000-0000-0000E2060000}"/>
    <cellStyle name="40% - Accent6 2 10" xfId="8818" xr:uid="{82D69E84-2AC3-44C3-8559-971D91F0B6F2}"/>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F496EDD9-7FA6-4026-98B6-3E6EE90EB04F}"/>
    <cellStyle name="40% - Accent6 2 2 2 2 2 3" xfId="11379" xr:uid="{0AB8A52D-27DD-429E-8EAA-37B279823F71}"/>
    <cellStyle name="40% - Accent6 2 2 2 2 3" xfId="5010" xr:uid="{00000000-0005-0000-0000-0000E8060000}"/>
    <cellStyle name="40% - Accent6 2 2 2 2 3 2" xfId="13452" xr:uid="{38BAEFA9-8F9F-4CDD-9677-2BF45F5483BC}"/>
    <cellStyle name="40% - Accent6 2 2 2 2 4" xfId="9234" xr:uid="{62248853-8632-4440-B232-C1AF89907B67}"/>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D84B585D-4890-46C6-939C-FD595EF72AA1}"/>
    <cellStyle name="40% - Accent6 2 2 2 3 2 3" xfId="11792" xr:uid="{37EC98F7-A5DE-4C7A-A936-0747E9F9BC55}"/>
    <cellStyle name="40% - Accent6 2 2 2 3 3" xfId="5423" xr:uid="{00000000-0005-0000-0000-0000EC060000}"/>
    <cellStyle name="40% - Accent6 2 2 2 3 3 2" xfId="13865" xr:uid="{B06D6EAF-3F9F-46E0-BE97-3BFF57959009}"/>
    <cellStyle name="40% - Accent6 2 2 2 3 4" xfId="9647" xr:uid="{3066890D-A423-4ACB-9984-AC41F2B90C2D}"/>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10619F80-9006-4D66-AC3B-4BA3650BCD09}"/>
    <cellStyle name="40% - Accent6 2 2 2 4 2 3" xfId="12205" xr:uid="{2A263E43-477B-453F-ACD4-0B9049CEA98D}"/>
    <cellStyle name="40% - Accent6 2 2 2 4 3" xfId="5836" xr:uid="{00000000-0005-0000-0000-0000F0060000}"/>
    <cellStyle name="40% - Accent6 2 2 2 4 3 2" xfId="14278" xr:uid="{69571AD1-71E8-4BFA-AF7E-00D5A15AD8E3}"/>
    <cellStyle name="40% - Accent6 2 2 2 4 4" xfId="10060" xr:uid="{AAE65C05-9083-49DF-8162-B72C59DFBD25}"/>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FC23E2E5-0840-4A2D-B71A-3DA8E9FACA1A}"/>
    <cellStyle name="40% - Accent6 2 2 2 5 2 3" xfId="12618" xr:uid="{87B37D37-76AD-4CB0-9CDE-8C93F0C0002C}"/>
    <cellStyle name="40% - Accent6 2 2 2 5 3" xfId="6249" xr:uid="{00000000-0005-0000-0000-0000F4060000}"/>
    <cellStyle name="40% - Accent6 2 2 2 5 3 2" xfId="14691" xr:uid="{AB58BA33-A684-4204-8186-B4D04B8F15E7}"/>
    <cellStyle name="40% - Accent6 2 2 2 5 4" xfId="10473" xr:uid="{FC95FD6C-6BB7-462C-BEA5-AA737FE7858C}"/>
    <cellStyle name="40% - Accent6 2 2 2 6" xfId="2355" xr:uid="{00000000-0005-0000-0000-0000F5060000}"/>
    <cellStyle name="40% - Accent6 2 2 2 6 2" xfId="6662" xr:uid="{00000000-0005-0000-0000-0000F6060000}"/>
    <cellStyle name="40% - Accent6 2 2 2 6 2 2" xfId="15104" xr:uid="{EB647420-68D2-4916-AE71-0B359E077573}"/>
    <cellStyle name="40% - Accent6 2 2 2 6 3" xfId="10886" xr:uid="{5EF3A183-E95D-4528-91EF-B780D4D02C8A}"/>
    <cellStyle name="40% - Accent6 2 2 2 7" xfId="4596" xr:uid="{00000000-0005-0000-0000-0000F7060000}"/>
    <cellStyle name="40% - Accent6 2 2 2 7 2" xfId="13038" xr:uid="{48811F03-E642-4573-89CB-8992FE93D006}"/>
    <cellStyle name="40% - Accent6 2 2 2 8" xfId="8820" xr:uid="{721D4ED4-64D6-4942-B4DB-5F753351BA64}"/>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F777A6CE-087D-47A9-A299-074BA9333086}"/>
    <cellStyle name="40% - Accent6 2 2 3 2 3" xfId="11378" xr:uid="{110263B0-5E78-49F7-9531-EABAC747C2AF}"/>
    <cellStyle name="40% - Accent6 2 2 3 3" xfId="5009" xr:uid="{00000000-0005-0000-0000-0000FB060000}"/>
    <cellStyle name="40% - Accent6 2 2 3 3 2" xfId="13451" xr:uid="{F558DE1A-9E1D-4BD0-8D48-16F7EF80680A}"/>
    <cellStyle name="40% - Accent6 2 2 3 4" xfId="9233" xr:uid="{A05D55C4-D5A7-482E-9132-12BA2403A3BF}"/>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59CED9B6-C27D-4E80-B231-C337EBD98184}"/>
    <cellStyle name="40% - Accent6 2 2 4 2 3" xfId="11791" xr:uid="{89862B8C-9E90-4697-B315-D31A047CCD0A}"/>
    <cellStyle name="40% - Accent6 2 2 4 3" xfId="5422" xr:uid="{00000000-0005-0000-0000-0000FF060000}"/>
    <cellStyle name="40% - Accent6 2 2 4 3 2" xfId="13864" xr:uid="{A6DCA1FD-6C39-4A40-9833-288CEB82E9FE}"/>
    <cellStyle name="40% - Accent6 2 2 4 4" xfId="9646" xr:uid="{9A4887DF-112B-4DE8-9D17-928152F23CC0}"/>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FE8C9CAF-4CD6-470A-A278-836C4BDCA1B6}"/>
    <cellStyle name="40% - Accent6 2 2 5 2 3" xfId="12204" xr:uid="{1E3F9E60-04B9-4059-869D-0B251C105A5C}"/>
    <cellStyle name="40% - Accent6 2 2 5 3" xfId="5835" xr:uid="{00000000-0005-0000-0000-000003070000}"/>
    <cellStyle name="40% - Accent6 2 2 5 3 2" xfId="14277" xr:uid="{09D382F5-F688-4A9F-B852-C39BE15DB196}"/>
    <cellStyle name="40% - Accent6 2 2 5 4" xfId="10059" xr:uid="{57F781E4-F04A-4829-B011-C4428B963EEE}"/>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5ABCF61E-4184-4D53-A2E6-422D1D947C70}"/>
    <cellStyle name="40% - Accent6 2 2 6 2 3" xfId="12617" xr:uid="{0EFB7CB2-D0FC-4D2C-9893-7E25654E7899}"/>
    <cellStyle name="40% - Accent6 2 2 6 3" xfId="6248" xr:uid="{00000000-0005-0000-0000-000007070000}"/>
    <cellStyle name="40% - Accent6 2 2 6 3 2" xfId="14690" xr:uid="{F9015DCC-97D8-4975-8615-1796BCA672B5}"/>
    <cellStyle name="40% - Accent6 2 2 6 4" xfId="10472" xr:uid="{0ED6DF1A-2B33-4390-B911-823701EB3991}"/>
    <cellStyle name="40% - Accent6 2 2 7" xfId="2354" xr:uid="{00000000-0005-0000-0000-000008070000}"/>
    <cellStyle name="40% - Accent6 2 2 7 2" xfId="6661" xr:uid="{00000000-0005-0000-0000-000009070000}"/>
    <cellStyle name="40% - Accent6 2 2 7 2 2" xfId="15103" xr:uid="{6532A9F2-7F28-414D-803A-289A77C88753}"/>
    <cellStyle name="40% - Accent6 2 2 7 3" xfId="10885" xr:uid="{E3C5F495-D1D2-4909-A098-A62C217974D3}"/>
    <cellStyle name="40% - Accent6 2 2 8" xfId="4595" xr:uid="{00000000-0005-0000-0000-00000A070000}"/>
    <cellStyle name="40% - Accent6 2 2 8 2" xfId="13037" xr:uid="{3124607A-9B15-4849-8967-29FC5C520DCE}"/>
    <cellStyle name="40% - Accent6 2 2 9" xfId="8819" xr:uid="{3A3F6940-5291-47D4-969B-EC537803B434}"/>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A60EDC69-C7DF-4F2A-9EC1-C01E4E002D57}"/>
    <cellStyle name="40% - Accent6 2 3 2 2 3" xfId="11380" xr:uid="{B7D7A95B-CB03-4D33-948B-1473A0967702}"/>
    <cellStyle name="40% - Accent6 2 3 2 3" xfId="5011" xr:uid="{00000000-0005-0000-0000-00000F070000}"/>
    <cellStyle name="40% - Accent6 2 3 2 3 2" xfId="13453" xr:uid="{DAA50902-066F-458A-B71A-4765F691542A}"/>
    <cellStyle name="40% - Accent6 2 3 2 4" xfId="9235" xr:uid="{B78E4BDF-8ECF-4BBF-A187-67002922BF5B}"/>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3E245309-78E0-4C06-9F55-E97902E7C8FD}"/>
    <cellStyle name="40% - Accent6 2 3 3 2 3" xfId="11793" xr:uid="{01790E02-488A-42C7-9FB1-02117F1E7B54}"/>
    <cellStyle name="40% - Accent6 2 3 3 3" xfId="5424" xr:uid="{00000000-0005-0000-0000-000013070000}"/>
    <cellStyle name="40% - Accent6 2 3 3 3 2" xfId="13866" xr:uid="{45F0D92B-4E83-412C-9277-144263056012}"/>
    <cellStyle name="40% - Accent6 2 3 3 4" xfId="9648" xr:uid="{E226827E-1734-4FE0-95F1-9B4022936668}"/>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1700C121-7A14-4142-AE3D-80589256E173}"/>
    <cellStyle name="40% - Accent6 2 3 4 2 3" xfId="12206" xr:uid="{342733A8-6F6E-4444-9BD5-61FD36E35E7F}"/>
    <cellStyle name="40% - Accent6 2 3 4 3" xfId="5837" xr:uid="{00000000-0005-0000-0000-000017070000}"/>
    <cellStyle name="40% - Accent6 2 3 4 3 2" xfId="14279" xr:uid="{AC15E6B7-BA38-480A-A3A3-93E6F035664E}"/>
    <cellStyle name="40% - Accent6 2 3 4 4" xfId="10061" xr:uid="{6247C1DC-6DAA-4D4B-B889-577AE07FA725}"/>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2DAC3755-C4E2-40DB-ADF3-43DDDE38053E}"/>
    <cellStyle name="40% - Accent6 2 3 5 2 3" xfId="12619" xr:uid="{F2A77AA9-A929-47B5-B09E-40ADCFBEFC6B}"/>
    <cellStyle name="40% - Accent6 2 3 5 3" xfId="6250" xr:uid="{00000000-0005-0000-0000-00001B070000}"/>
    <cellStyle name="40% - Accent6 2 3 5 3 2" xfId="14692" xr:uid="{FF8627F7-C1A4-4F45-A973-0FDE5561EA50}"/>
    <cellStyle name="40% - Accent6 2 3 5 4" xfId="10474" xr:uid="{C747BBED-4C0A-4415-AAB4-DE3BBAB273DF}"/>
    <cellStyle name="40% - Accent6 2 3 6" xfId="2356" xr:uid="{00000000-0005-0000-0000-00001C070000}"/>
    <cellStyle name="40% - Accent6 2 3 6 2" xfId="6663" xr:uid="{00000000-0005-0000-0000-00001D070000}"/>
    <cellStyle name="40% - Accent6 2 3 6 2 2" xfId="15105" xr:uid="{CE692546-DB08-4F71-9664-AB05346907CE}"/>
    <cellStyle name="40% - Accent6 2 3 6 3" xfId="10887" xr:uid="{2D174D95-70FB-4A4A-8D09-7B7AD3A4A248}"/>
    <cellStyle name="40% - Accent6 2 3 7" xfId="4597" xr:uid="{00000000-0005-0000-0000-00001E070000}"/>
    <cellStyle name="40% - Accent6 2 3 7 2" xfId="13039" xr:uid="{90B1F6CF-0828-4FDC-94DA-DB915337EDD7}"/>
    <cellStyle name="40% - Accent6 2 3 8" xfId="8821" xr:uid="{0CB800F3-1DE8-4F6F-92EA-23F316AC6BEE}"/>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58E7B7CE-928B-4109-9AFD-5EFB8AC1B069}"/>
    <cellStyle name="40% - Accent6 2 4 2 3" xfId="11377" xr:uid="{77F8866C-73A0-4ADD-94A3-EE5CEA1F3CD4}"/>
    <cellStyle name="40% - Accent6 2 4 3" xfId="5008" xr:uid="{00000000-0005-0000-0000-000022070000}"/>
    <cellStyle name="40% - Accent6 2 4 3 2" xfId="13450" xr:uid="{F18C5A83-6886-4E7F-BE9F-228C5B96D16C}"/>
    <cellStyle name="40% - Accent6 2 4 4" xfId="9232" xr:uid="{E34DC29D-A588-48ED-BC58-6A1672DD7EE7}"/>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0A053E4D-B8BF-4434-901F-A45761002A48}"/>
    <cellStyle name="40% - Accent6 2 5 2 3" xfId="11790" xr:uid="{F5FB0035-360D-404A-888D-206DAD7800F1}"/>
    <cellStyle name="40% - Accent6 2 5 3" xfId="5421" xr:uid="{00000000-0005-0000-0000-000026070000}"/>
    <cellStyle name="40% - Accent6 2 5 3 2" xfId="13863" xr:uid="{CE21A49E-470E-4F13-9600-1F9F7C201535}"/>
    <cellStyle name="40% - Accent6 2 5 4" xfId="9645" xr:uid="{38CF5E85-E1A8-45C4-9238-ADF59380275F}"/>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28D60163-9F14-4595-AF57-4490CFBD33A8}"/>
    <cellStyle name="40% - Accent6 2 6 2 3" xfId="12203" xr:uid="{41E8AA45-5E51-4A19-B4E9-C08733DC0F7D}"/>
    <cellStyle name="40% - Accent6 2 6 3" xfId="5834" xr:uid="{00000000-0005-0000-0000-00002A070000}"/>
    <cellStyle name="40% - Accent6 2 6 3 2" xfId="14276" xr:uid="{6809A1D2-52CE-4F0E-8127-A9EE21A54B75}"/>
    <cellStyle name="40% - Accent6 2 6 4" xfId="10058" xr:uid="{4A9AD4E5-6A06-4B02-8C9D-881AB05283F4}"/>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AFD7B19B-3F46-4FEB-BC4D-916591B2A289}"/>
    <cellStyle name="40% - Accent6 2 7 2 3" xfId="12616" xr:uid="{E6351CB4-1D25-41BE-9174-B96BA01AACF9}"/>
    <cellStyle name="40% - Accent6 2 7 3" xfId="6247" xr:uid="{00000000-0005-0000-0000-00002E070000}"/>
    <cellStyle name="40% - Accent6 2 7 3 2" xfId="14689" xr:uid="{033E5456-8B8C-43DB-B49A-BCB0E3B6136E}"/>
    <cellStyle name="40% - Accent6 2 7 4" xfId="10471" xr:uid="{4336C071-D580-4A92-A15E-E1DB6FA04133}"/>
    <cellStyle name="40% - Accent6 2 8" xfId="2353" xr:uid="{00000000-0005-0000-0000-00002F070000}"/>
    <cellStyle name="40% - Accent6 2 8 2" xfId="6660" xr:uid="{00000000-0005-0000-0000-000030070000}"/>
    <cellStyle name="40% - Accent6 2 8 2 2" xfId="15102" xr:uid="{735E6BF0-65FB-42E2-A5F7-7C520428AF21}"/>
    <cellStyle name="40% - Accent6 2 8 3" xfId="10884" xr:uid="{16C2387C-88EC-4985-BDFC-97C43CE23603}"/>
    <cellStyle name="40% - Accent6 2 9" xfId="4594" xr:uid="{00000000-0005-0000-0000-000031070000}"/>
    <cellStyle name="40% - Accent6 2 9 2" xfId="13036" xr:uid="{826BB41B-DE50-4786-B029-363B45E850B6}"/>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4F175A1E-FAE9-4696-8937-428519615736}"/>
    <cellStyle name="40% - Accent6 3 2 2 2 3" xfId="11382" xr:uid="{896AAE90-0A33-4B4C-97B1-32E1B0B019DB}"/>
    <cellStyle name="40% - Accent6 3 2 2 3" xfId="5013" xr:uid="{00000000-0005-0000-0000-000037070000}"/>
    <cellStyle name="40% - Accent6 3 2 2 3 2" xfId="13455" xr:uid="{7145D32E-1DF4-4094-923A-07A8B67EE4B8}"/>
    <cellStyle name="40% - Accent6 3 2 2 4" xfId="9237" xr:uid="{60A6C95D-08FE-4298-B69C-10AC26DB1DB5}"/>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E73BEFB1-EF36-4732-B27B-63A313A43110}"/>
    <cellStyle name="40% - Accent6 3 2 3 2 3" xfId="11795" xr:uid="{0AEAA56E-E6AD-4A8D-B28F-394B090E99E4}"/>
    <cellStyle name="40% - Accent6 3 2 3 3" xfId="5426" xr:uid="{00000000-0005-0000-0000-00003B070000}"/>
    <cellStyle name="40% - Accent6 3 2 3 3 2" xfId="13868" xr:uid="{905B0A79-66F0-46BE-855D-D33780948E00}"/>
    <cellStyle name="40% - Accent6 3 2 3 4" xfId="9650" xr:uid="{38556F9C-8F5F-4E38-98D1-05DEA6A212A5}"/>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2CDE2E8B-6DBC-4C79-89B2-AFCB132B689C}"/>
    <cellStyle name="40% - Accent6 3 2 4 2 3" xfId="12208" xr:uid="{E40305DF-1829-4D38-82AD-3FD9E4AB26C9}"/>
    <cellStyle name="40% - Accent6 3 2 4 3" xfId="5839" xr:uid="{00000000-0005-0000-0000-00003F070000}"/>
    <cellStyle name="40% - Accent6 3 2 4 3 2" xfId="14281" xr:uid="{C0DEC446-2384-4361-B8EC-7997B7F9A3D4}"/>
    <cellStyle name="40% - Accent6 3 2 4 4" xfId="10063" xr:uid="{86943569-09F4-49B2-ACE4-C8CA8768423B}"/>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04BCD965-5CCB-4969-9DA7-4CE2F75F5E0E}"/>
    <cellStyle name="40% - Accent6 3 2 5 2 3" xfId="12621" xr:uid="{F714C5B7-154C-41BB-9FAA-A2C359850CCC}"/>
    <cellStyle name="40% - Accent6 3 2 5 3" xfId="6252" xr:uid="{00000000-0005-0000-0000-000043070000}"/>
    <cellStyle name="40% - Accent6 3 2 5 3 2" xfId="14694" xr:uid="{F2C2F23B-B1DE-40A2-B862-661946C6A1D7}"/>
    <cellStyle name="40% - Accent6 3 2 5 4" xfId="10476" xr:uid="{53498FBB-1956-4C04-889D-D3F5D309B73D}"/>
    <cellStyle name="40% - Accent6 3 2 6" xfId="2358" xr:uid="{00000000-0005-0000-0000-000044070000}"/>
    <cellStyle name="40% - Accent6 3 2 6 2" xfId="6665" xr:uid="{00000000-0005-0000-0000-000045070000}"/>
    <cellStyle name="40% - Accent6 3 2 6 2 2" xfId="15107" xr:uid="{19C82A3A-8A4F-4EA8-843C-7421B4ED8CA6}"/>
    <cellStyle name="40% - Accent6 3 2 6 3" xfId="10889" xr:uid="{C5B1EBC8-CEA5-4DFD-9883-92D012BD1FC6}"/>
    <cellStyle name="40% - Accent6 3 2 7" xfId="4599" xr:uid="{00000000-0005-0000-0000-000046070000}"/>
    <cellStyle name="40% - Accent6 3 2 7 2" xfId="13041" xr:uid="{333C0BB7-4444-48FA-88D0-C3AFC10D72C9}"/>
    <cellStyle name="40% - Accent6 3 2 8" xfId="8823" xr:uid="{54542B7E-B43F-4DCA-BCA4-3176C0382BD1}"/>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D734CB69-E777-495C-A7AE-7D4885D975C5}"/>
    <cellStyle name="40% - Accent6 3 3 2 3" xfId="11381" xr:uid="{3AE75ABD-AB46-424B-BFB3-EEAA20B9ABBA}"/>
    <cellStyle name="40% - Accent6 3 3 3" xfId="5012" xr:uid="{00000000-0005-0000-0000-00004A070000}"/>
    <cellStyle name="40% - Accent6 3 3 3 2" xfId="13454" xr:uid="{0FFCDC6D-FDB5-4B96-AF29-115CB0ED3806}"/>
    <cellStyle name="40% - Accent6 3 3 4" xfId="9236" xr:uid="{E15BC90C-B9CC-44D9-83FE-F9558012E272}"/>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DF40448C-FB42-4F44-92B8-647B244FA222}"/>
    <cellStyle name="40% - Accent6 3 4 2 3" xfId="11794" xr:uid="{D3EB6C4E-7DF4-41FE-9609-E296088E57A0}"/>
    <cellStyle name="40% - Accent6 3 4 3" xfId="5425" xr:uid="{00000000-0005-0000-0000-00004E070000}"/>
    <cellStyle name="40% - Accent6 3 4 3 2" xfId="13867" xr:uid="{44DD7A2C-1D43-4F21-9320-60129FB9303A}"/>
    <cellStyle name="40% - Accent6 3 4 4" xfId="9649" xr:uid="{FDF866D9-7755-4FE9-9ADA-3A381176E08C}"/>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6EE3DEDB-3621-4512-9C59-EDB23F9724D7}"/>
    <cellStyle name="40% - Accent6 3 5 2 3" xfId="12207" xr:uid="{2E83AB2D-500A-4FE5-AD02-6158D7C7F1D3}"/>
    <cellStyle name="40% - Accent6 3 5 3" xfId="5838" xr:uid="{00000000-0005-0000-0000-000052070000}"/>
    <cellStyle name="40% - Accent6 3 5 3 2" xfId="14280" xr:uid="{EBC033CF-D852-4B81-90B8-09899F03199F}"/>
    <cellStyle name="40% - Accent6 3 5 4" xfId="10062" xr:uid="{77E0C565-F352-4129-92FE-4E531F88B781}"/>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A4E1F4B9-AE0C-455E-AE08-6FC8A4A99EE0}"/>
    <cellStyle name="40% - Accent6 3 6 2 3" xfId="12620" xr:uid="{CDF0FE74-4C9E-4A14-BB36-F7740F1110E4}"/>
    <cellStyle name="40% - Accent6 3 6 3" xfId="6251" xr:uid="{00000000-0005-0000-0000-000056070000}"/>
    <cellStyle name="40% - Accent6 3 6 3 2" xfId="14693" xr:uid="{64832212-70D7-460F-B548-04EDF3765133}"/>
    <cellStyle name="40% - Accent6 3 6 4" xfId="10475" xr:uid="{4C8D619B-B58D-489F-9345-2DAEFBFED62A}"/>
    <cellStyle name="40% - Accent6 3 7" xfId="2357" xr:uid="{00000000-0005-0000-0000-000057070000}"/>
    <cellStyle name="40% - Accent6 3 7 2" xfId="6664" xr:uid="{00000000-0005-0000-0000-000058070000}"/>
    <cellStyle name="40% - Accent6 3 7 2 2" xfId="15106" xr:uid="{BEFA6C1E-8204-446D-8889-EB2DF317EF2D}"/>
    <cellStyle name="40% - Accent6 3 7 3" xfId="10888" xr:uid="{13D9A235-6894-497B-AC91-0F8EB12B151E}"/>
    <cellStyle name="40% - Accent6 3 8" xfId="4598" xr:uid="{00000000-0005-0000-0000-000059070000}"/>
    <cellStyle name="40% - Accent6 3 8 2" xfId="13040" xr:uid="{C8D07098-4D6A-430C-AC17-40C6767FECB5}"/>
    <cellStyle name="40% - Accent6 3 9" xfId="8822" xr:uid="{9EF40E4A-71DF-465D-BBBC-0FA486D26BCC}"/>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A9F32D0E-3AA0-4B4A-8046-CCD99F690998}"/>
    <cellStyle name="40% - Accent6 4 2 2 3" xfId="11383" xr:uid="{2393FFA3-E507-4A8A-A40C-C6AFC8243C88}"/>
    <cellStyle name="40% - Accent6 4 2 3" xfId="5014" xr:uid="{00000000-0005-0000-0000-00005E070000}"/>
    <cellStyle name="40% - Accent6 4 2 3 2" xfId="13456" xr:uid="{E33D6826-AB9B-44E7-AC17-A044A516D203}"/>
    <cellStyle name="40% - Accent6 4 2 4" xfId="9238" xr:uid="{6F4CEFAC-BB30-4FD1-A6F7-9BEEBFEBB8BD}"/>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B7DF4FC6-94FF-4019-8505-16DE25856A4D}"/>
    <cellStyle name="40% - Accent6 4 3 2 3" xfId="11796" xr:uid="{3A510DC3-7440-49BC-A4B5-53FB32F0617A}"/>
    <cellStyle name="40% - Accent6 4 3 3" xfId="5427" xr:uid="{00000000-0005-0000-0000-000062070000}"/>
    <cellStyle name="40% - Accent6 4 3 3 2" xfId="13869" xr:uid="{31232461-C648-4E93-A4E8-8654059D4EDC}"/>
    <cellStyle name="40% - Accent6 4 3 4" xfId="9651" xr:uid="{138A8F7E-0BF7-4B24-94F7-E5DF97348503}"/>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FC3645A5-3088-4FD7-9BBE-9A6CAF7496DA}"/>
    <cellStyle name="40% - Accent6 4 4 2 3" xfId="12209" xr:uid="{E1EDD6E0-AE14-47D9-84C7-F5FADBEFF236}"/>
    <cellStyle name="40% - Accent6 4 4 3" xfId="5840" xr:uid="{00000000-0005-0000-0000-000066070000}"/>
    <cellStyle name="40% - Accent6 4 4 3 2" xfId="14282" xr:uid="{DDEEBDE0-50BC-4F26-88FC-D31BAFD401D7}"/>
    <cellStyle name="40% - Accent6 4 4 4" xfId="10064" xr:uid="{9EFBB072-1AEB-466A-955F-EC16CAEC7E80}"/>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130EAAFA-4A7F-4FFA-AF65-6405AEEF8C84}"/>
    <cellStyle name="40% - Accent6 4 5 2 3" xfId="12622" xr:uid="{463CD458-F828-47D6-A6C0-CED046B6411A}"/>
    <cellStyle name="40% - Accent6 4 5 3" xfId="6253" xr:uid="{00000000-0005-0000-0000-00006A070000}"/>
    <cellStyle name="40% - Accent6 4 5 3 2" xfId="14695" xr:uid="{9DB51797-7828-4F0C-903D-12A25DB723CC}"/>
    <cellStyle name="40% - Accent6 4 5 4" xfId="10477" xr:uid="{BD7BD150-DAEA-4AC9-BA1E-0D8569F9F117}"/>
    <cellStyle name="40% - Accent6 4 6" xfId="2359" xr:uid="{00000000-0005-0000-0000-00006B070000}"/>
    <cellStyle name="40% - Accent6 4 6 2" xfId="6666" xr:uid="{00000000-0005-0000-0000-00006C070000}"/>
    <cellStyle name="40% - Accent6 4 6 2 2" xfId="15108" xr:uid="{1BBF89C2-E1EE-44F2-9B67-6FEC0771DE9D}"/>
    <cellStyle name="40% - Accent6 4 6 3" xfId="10890" xr:uid="{E56079CC-F1B2-4ECA-B894-0785DA51B986}"/>
    <cellStyle name="40% - Accent6 4 7" xfId="4600" xr:uid="{00000000-0005-0000-0000-00006D070000}"/>
    <cellStyle name="40% - Accent6 4 7 2" xfId="13042" xr:uid="{1073D3B4-8125-4BDF-AD41-FBE57B71F0AF}"/>
    <cellStyle name="40% - Accent6 4 8" xfId="8824" xr:uid="{676EC5A0-AE33-49F7-B385-58EC1E21A757}"/>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AEE5CD5A-9AC3-4570-846C-FF75C2313C79}"/>
    <cellStyle name="40% - Accent6 5 2 3" xfId="11376" xr:uid="{9CA2C6D4-F0B9-4407-BF11-0E5B55BEB922}"/>
    <cellStyle name="40% - Accent6 5 3" xfId="5007" xr:uid="{00000000-0005-0000-0000-000071070000}"/>
    <cellStyle name="40% - Accent6 5 3 2" xfId="13449" xr:uid="{38681C3C-C3C5-40A7-A627-158D19788E69}"/>
    <cellStyle name="40% - Accent6 5 4" xfId="9231" xr:uid="{0B4B3047-4EB1-41B6-9217-CA0CEA45AB9E}"/>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34B915D1-2350-47AB-B311-4E739DD999FE}"/>
    <cellStyle name="40% - Accent6 6 2 3" xfId="11789" xr:uid="{F207C3F6-83E4-4771-A0CC-FD2856E0CE18}"/>
    <cellStyle name="40% - Accent6 6 3" xfId="5420" xr:uid="{00000000-0005-0000-0000-000075070000}"/>
    <cellStyle name="40% - Accent6 6 3 2" xfId="13862" xr:uid="{F07A8837-DE8B-49E4-B320-DB5D669CCBFE}"/>
    <cellStyle name="40% - Accent6 6 4" xfId="9644" xr:uid="{D587FF6A-D53F-4985-BEAE-EE4651A46CD2}"/>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AC326310-3296-4BFC-BCB7-E683F9D2F480}"/>
    <cellStyle name="40% - Accent6 7 2 3" xfId="12202" xr:uid="{07574B39-5EC2-4212-BC22-EDB263F84DF2}"/>
    <cellStyle name="40% - Accent6 7 3" xfId="5833" xr:uid="{00000000-0005-0000-0000-000079070000}"/>
    <cellStyle name="40% - Accent6 7 3 2" xfId="14275" xr:uid="{44F92FEB-F5C8-4F7A-8135-46AFC981860A}"/>
    <cellStyle name="40% - Accent6 7 4" xfId="10057" xr:uid="{2B97A152-5199-4975-9773-45F1956EBE12}"/>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83383F15-3900-4D8C-8348-62EBF8DB82DD}"/>
    <cellStyle name="40% - Accent6 8 2 3" xfId="12615" xr:uid="{BACD392A-EF66-4218-A56E-E06AFC5FFF4E}"/>
    <cellStyle name="40% - Accent6 8 3" xfId="6246" xr:uid="{00000000-0005-0000-0000-00007D070000}"/>
    <cellStyle name="40% - Accent6 8 3 2" xfId="14688" xr:uid="{5BF747E2-2EB3-4CE3-9579-0340197BAA56}"/>
    <cellStyle name="40% - Accent6 8 4" xfId="10470" xr:uid="{7EE959DC-8970-463F-8700-936A4BF24081}"/>
    <cellStyle name="40% - Accent6 9" xfId="2352" xr:uid="{00000000-0005-0000-0000-00007E070000}"/>
    <cellStyle name="40% - Accent6 9 2" xfId="6659" xr:uid="{00000000-0005-0000-0000-00007F070000}"/>
    <cellStyle name="40% - Accent6 9 2 2" xfId="15101" xr:uid="{51BEA1A1-EB87-4ABE-B68F-3DBC0F760DFE}"/>
    <cellStyle name="40% - Accent6 9 3" xfId="10883" xr:uid="{A105F375-10C7-459E-917C-8FB48C88F01A}"/>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05311F78-AA26-40CE-ADEF-8AAF539C463D}"/>
    <cellStyle name="Comma 4 2 2 2 10 3" xfId="11208" xr:uid="{D230B33F-2939-4962-A43D-AF7CB97B731B}"/>
    <cellStyle name="Comma 4 2 2 2 11" xfId="4601" xr:uid="{00000000-0005-0000-0000-0000A3070000}"/>
    <cellStyle name="Comma 4 2 2 2 11 2" xfId="13043" xr:uid="{B165C7BB-5E69-4091-B39E-D21E074B8EA7}"/>
    <cellStyle name="Comma 4 2 2 2 12" xfId="8825" xr:uid="{7FB2D89A-9E67-4A60-9365-EA1D1D4DE511}"/>
    <cellStyle name="Comma 4 2 2 2 2" xfId="129" xr:uid="{00000000-0005-0000-0000-0000A4070000}"/>
    <cellStyle name="Comma 4 2 2 2 2 10" xfId="4602" xr:uid="{00000000-0005-0000-0000-0000A5070000}"/>
    <cellStyle name="Comma 4 2 2 2 2 10 2" xfId="13044" xr:uid="{E0C1A3DB-B6AD-46DC-9F53-83E42D0764F3}"/>
    <cellStyle name="Comma 4 2 2 2 2 11" xfId="8826" xr:uid="{E74E72BC-A814-49EE-9F2E-B2CDD961BD38}"/>
    <cellStyle name="Comma 4 2 2 2 2 2" xfId="130" xr:uid="{00000000-0005-0000-0000-0000A6070000}"/>
    <cellStyle name="Comma 4 2 2 2 2 2 10" xfId="8827" xr:uid="{F207377A-FF13-449B-8D7A-542A71C42E48}"/>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FDBE19BC-40CA-438F-A13C-1FABDE5291EA}"/>
    <cellStyle name="Comma 4 2 2 2 2 2 2 2 3" xfId="11386" xr:uid="{FEC2FBCB-EADC-4A9A-BBC0-03DCBF1DF081}"/>
    <cellStyle name="Comma 4 2 2 2 2 2 2 3" xfId="5017" xr:uid="{00000000-0005-0000-0000-0000AA070000}"/>
    <cellStyle name="Comma 4 2 2 2 2 2 2 3 2" xfId="13459" xr:uid="{A4ED5F5F-4C27-4DD0-8296-2B0461990395}"/>
    <cellStyle name="Comma 4 2 2 2 2 2 2 4" xfId="9241" xr:uid="{1B720087-1A38-4434-9815-F85FD7C6CE35}"/>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2141A657-7C3A-4064-9ACC-C20CF943490B}"/>
    <cellStyle name="Comma 4 2 2 2 2 2 3 2 3" xfId="11799" xr:uid="{9A0AAA75-8F6F-481C-BD0C-BD8A123FD319}"/>
    <cellStyle name="Comma 4 2 2 2 2 2 3 3" xfId="5430" xr:uid="{00000000-0005-0000-0000-0000AE070000}"/>
    <cellStyle name="Comma 4 2 2 2 2 2 3 3 2" xfId="13872" xr:uid="{A07DA718-C109-4CCD-9D58-7998CE33BD9B}"/>
    <cellStyle name="Comma 4 2 2 2 2 2 3 4" xfId="9654" xr:uid="{635AFE09-701A-46CB-94DE-A7E2B36CDC4B}"/>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70BBE9C5-906A-46C7-BF49-39744255D256}"/>
    <cellStyle name="Comma 4 2 2 2 2 2 4 2 3" xfId="12212" xr:uid="{D113029B-16B7-47FF-A721-191B0328A8AA}"/>
    <cellStyle name="Comma 4 2 2 2 2 2 4 3" xfId="5843" xr:uid="{00000000-0005-0000-0000-0000B2070000}"/>
    <cellStyle name="Comma 4 2 2 2 2 2 4 3 2" xfId="14285" xr:uid="{4602C48D-8F88-4EBB-B6CC-8B49275C6FD2}"/>
    <cellStyle name="Comma 4 2 2 2 2 2 4 4" xfId="10067" xr:uid="{C4910463-9E36-47F3-B4D4-342E40D243A5}"/>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15812EE7-FACE-4321-8698-AB69C88DF258}"/>
    <cellStyle name="Comma 4 2 2 2 2 2 5 2 3" xfId="12625" xr:uid="{A38A977F-EB53-4706-88DF-272653B6EAA8}"/>
    <cellStyle name="Comma 4 2 2 2 2 2 5 3" xfId="6256" xr:uid="{00000000-0005-0000-0000-0000B6070000}"/>
    <cellStyle name="Comma 4 2 2 2 2 2 5 3 2" xfId="14698" xr:uid="{FD399F65-5E19-4F33-8C87-0E75EB9C3F36}"/>
    <cellStyle name="Comma 4 2 2 2 2 2 5 4" xfId="10480" xr:uid="{D3E896BE-499F-4906-80C9-2A98B6AB1C12}"/>
    <cellStyle name="Comma 4 2 2 2 2 2 6" xfId="2384" xr:uid="{00000000-0005-0000-0000-0000B7070000}"/>
    <cellStyle name="Comma 4 2 2 2 2 2 6 2" xfId="6669" xr:uid="{00000000-0005-0000-0000-0000B8070000}"/>
    <cellStyle name="Comma 4 2 2 2 2 2 6 2 2" xfId="15111" xr:uid="{A7AD9B35-82A9-4425-A42C-A3D476EAD508}"/>
    <cellStyle name="Comma 4 2 2 2 2 2 6 3" xfId="10893" xr:uid="{47654BC1-6BEC-453A-942E-316DC3518ADD}"/>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3438D948-8129-4871-9B58-EF96EF9F888B}"/>
    <cellStyle name="Comma 4 2 2 2 2 2 8 3" xfId="11210" xr:uid="{C0E871ED-42F9-44CA-9B4D-F724935155FB}"/>
    <cellStyle name="Comma 4 2 2 2 2 2 9" xfId="4603" xr:uid="{00000000-0005-0000-0000-0000BC070000}"/>
    <cellStyle name="Comma 4 2 2 2 2 2 9 2" xfId="13045" xr:uid="{13AF41EB-605E-41B0-B1A0-00014D0AABC9}"/>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CB630A56-DE7E-46C0-99B2-8F11791B6E3E}"/>
    <cellStyle name="Comma 4 2 2 2 2 3 2 3" xfId="11385" xr:uid="{EF23DEE9-B9EC-4600-93DF-675AAAD428E6}"/>
    <cellStyle name="Comma 4 2 2 2 2 3 3" xfId="5016" xr:uid="{00000000-0005-0000-0000-0000C0070000}"/>
    <cellStyle name="Comma 4 2 2 2 2 3 3 2" xfId="13458" xr:uid="{54366C1D-9EA4-49F7-A978-2782DB485DB5}"/>
    <cellStyle name="Comma 4 2 2 2 2 3 4" xfId="9240" xr:uid="{4F82512A-9BAE-44CD-ADFC-EB5F332F7286}"/>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04DE909F-B166-4B20-AF0D-45680916DD77}"/>
    <cellStyle name="Comma 4 2 2 2 2 4 2 3" xfId="11798" xr:uid="{5289E30F-50F8-45C7-A3E5-DF5C9674A608}"/>
    <cellStyle name="Comma 4 2 2 2 2 4 3" xfId="5429" xr:uid="{00000000-0005-0000-0000-0000C4070000}"/>
    <cellStyle name="Comma 4 2 2 2 2 4 3 2" xfId="13871" xr:uid="{15E2CF72-0F3C-434E-8703-45978F5FD6D7}"/>
    <cellStyle name="Comma 4 2 2 2 2 4 4" xfId="9653" xr:uid="{B4AD29E1-7E79-4167-BCD2-67F170904989}"/>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DFAB8ED4-EF65-457A-A0ED-17153B8EE899}"/>
    <cellStyle name="Comma 4 2 2 2 2 5 2 3" xfId="12211" xr:uid="{326DCD6E-FE87-4AF7-A11A-4416D2EFB5CA}"/>
    <cellStyle name="Comma 4 2 2 2 2 5 3" xfId="5842" xr:uid="{00000000-0005-0000-0000-0000C8070000}"/>
    <cellStyle name="Comma 4 2 2 2 2 5 3 2" xfId="14284" xr:uid="{371AB0A1-F0B6-4501-97C2-E45DA16DF1AD}"/>
    <cellStyle name="Comma 4 2 2 2 2 5 4" xfId="10066" xr:uid="{0DCC5856-FEDB-435C-8B69-37851CFF8221}"/>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2D4EA235-77AD-45E0-861A-C6590000E593}"/>
    <cellStyle name="Comma 4 2 2 2 2 6 2 3" xfId="12624" xr:uid="{BF701620-F845-415E-8EA6-5DEDB60A4463}"/>
    <cellStyle name="Comma 4 2 2 2 2 6 3" xfId="6255" xr:uid="{00000000-0005-0000-0000-0000CC070000}"/>
    <cellStyle name="Comma 4 2 2 2 2 6 3 2" xfId="14697" xr:uid="{148601C9-641A-43A9-B771-C33310597DEE}"/>
    <cellStyle name="Comma 4 2 2 2 2 6 4" xfId="10479" xr:uid="{8A1CC9F1-4425-4444-B5B2-0EEB2426A3BF}"/>
    <cellStyle name="Comma 4 2 2 2 2 7" xfId="2383" xr:uid="{00000000-0005-0000-0000-0000CD070000}"/>
    <cellStyle name="Comma 4 2 2 2 2 7 2" xfId="6668" xr:uid="{00000000-0005-0000-0000-0000CE070000}"/>
    <cellStyle name="Comma 4 2 2 2 2 7 2 2" xfId="15110" xr:uid="{5F4F3EAF-4B48-4CCA-813B-C3F786E022DC}"/>
    <cellStyle name="Comma 4 2 2 2 2 7 3" xfId="10892" xr:uid="{0B632FE3-6CC3-41C8-8994-4BDB57646528}"/>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FA182448-ACC3-4A56-9A73-91059CE43DDE}"/>
    <cellStyle name="Comma 4 2 2 2 2 9 3" xfId="11209" xr:uid="{2E806E85-1881-4CE9-A8FA-D9BCDC6B3E1A}"/>
    <cellStyle name="Comma 4 2 2 2 3" xfId="131" xr:uid="{00000000-0005-0000-0000-0000D2070000}"/>
    <cellStyle name="Comma 4 2 2 2 3 10" xfId="8828" xr:uid="{C4B5C330-0AF3-48AD-88C5-109D4FD034F9}"/>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1A4B9C89-3C21-4E7A-8178-FB5D5B9A2595}"/>
    <cellStyle name="Comma 4 2 2 2 3 2 2 3" xfId="11387" xr:uid="{68390076-4247-41BD-BB1E-9EE248DE2C96}"/>
    <cellStyle name="Comma 4 2 2 2 3 2 3" xfId="5018" xr:uid="{00000000-0005-0000-0000-0000D6070000}"/>
    <cellStyle name="Comma 4 2 2 2 3 2 3 2" xfId="13460" xr:uid="{A7766331-31C2-4C38-B589-AA6E8ECE76E4}"/>
    <cellStyle name="Comma 4 2 2 2 3 2 4" xfId="9242" xr:uid="{363CBE26-208E-4E64-96EF-DDE9BB096C7F}"/>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EC6FAAD0-D72E-4342-9A21-A2D81C79A435}"/>
    <cellStyle name="Comma 4 2 2 2 3 3 2 3" xfId="11800" xr:uid="{0D2B6193-3215-47DC-81EB-FB3871819250}"/>
    <cellStyle name="Comma 4 2 2 2 3 3 3" xfId="5431" xr:uid="{00000000-0005-0000-0000-0000DA070000}"/>
    <cellStyle name="Comma 4 2 2 2 3 3 3 2" xfId="13873" xr:uid="{DF24B88D-DE7F-451E-A9C4-1D32A3A08152}"/>
    <cellStyle name="Comma 4 2 2 2 3 3 4" xfId="9655" xr:uid="{FF7CC31E-F63D-4F7A-8FB0-F2562267DFC0}"/>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7824A825-B1FF-4536-A69B-97AD2ED145A0}"/>
    <cellStyle name="Comma 4 2 2 2 3 4 2 3" xfId="12213" xr:uid="{0D9021FA-0F6F-4CAA-98AC-F467991A5FDA}"/>
    <cellStyle name="Comma 4 2 2 2 3 4 3" xfId="5844" xr:uid="{00000000-0005-0000-0000-0000DE070000}"/>
    <cellStyle name="Comma 4 2 2 2 3 4 3 2" xfId="14286" xr:uid="{3383279D-5B50-4096-8E5A-436A5B3E8FEE}"/>
    <cellStyle name="Comma 4 2 2 2 3 4 4" xfId="10068" xr:uid="{71C4577D-3198-4C7C-BA5C-2459FF3949B7}"/>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6D2F0A54-077D-448D-A6B2-EDD49081D955}"/>
    <cellStyle name="Comma 4 2 2 2 3 5 2 3" xfId="12626" xr:uid="{4CB770C8-13FA-4187-877D-8BA22ED92E56}"/>
    <cellStyle name="Comma 4 2 2 2 3 5 3" xfId="6257" xr:uid="{00000000-0005-0000-0000-0000E2070000}"/>
    <cellStyle name="Comma 4 2 2 2 3 5 3 2" xfId="14699" xr:uid="{F9AAF3B1-9D3F-462A-9276-DCE9F808C178}"/>
    <cellStyle name="Comma 4 2 2 2 3 5 4" xfId="10481" xr:uid="{B396DCC5-95A1-425F-8C9F-C42487CDCF98}"/>
    <cellStyle name="Comma 4 2 2 2 3 6" xfId="2385" xr:uid="{00000000-0005-0000-0000-0000E3070000}"/>
    <cellStyle name="Comma 4 2 2 2 3 6 2" xfId="6670" xr:uid="{00000000-0005-0000-0000-0000E4070000}"/>
    <cellStyle name="Comma 4 2 2 2 3 6 2 2" xfId="15112" xr:uid="{A02378C1-3D9D-4FA6-82F5-2226903AD4E9}"/>
    <cellStyle name="Comma 4 2 2 2 3 6 3" xfId="10894" xr:uid="{FA51DCBA-18A9-4104-B017-A6933D9442FB}"/>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FC0D1640-87E4-4342-BA33-3A300053961F}"/>
    <cellStyle name="Comma 4 2 2 2 3 8 3" xfId="11211" xr:uid="{6BB91880-8F43-48B2-BD4A-9173E9121A62}"/>
    <cellStyle name="Comma 4 2 2 2 3 9" xfId="4604" xr:uid="{00000000-0005-0000-0000-0000E8070000}"/>
    <cellStyle name="Comma 4 2 2 2 3 9 2" xfId="13046" xr:uid="{3AB60B08-F634-4F92-A420-6BCF19342BD7}"/>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B0855D5A-5DD4-42E4-94AB-CC0253BFF654}"/>
    <cellStyle name="Comma 4 2 2 2 4 2 3" xfId="11384" xr:uid="{350D80D9-28F7-4581-9DA9-CCA3395B692C}"/>
    <cellStyle name="Comma 4 2 2 2 4 3" xfId="5015" xr:uid="{00000000-0005-0000-0000-0000EC070000}"/>
    <cellStyle name="Comma 4 2 2 2 4 3 2" xfId="13457" xr:uid="{669375FF-284B-41BC-8EBF-4577E73A49EF}"/>
    <cellStyle name="Comma 4 2 2 2 4 4" xfId="9239" xr:uid="{7F7A904B-F24F-45EC-960F-00542EC7CCEA}"/>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26D2DD7D-7736-4458-934A-8E2FCCA40CC4}"/>
    <cellStyle name="Comma 4 2 2 2 5 2 3" xfId="11797" xr:uid="{0DDB2E15-CD8F-4F6D-B167-4EE886BA829B}"/>
    <cellStyle name="Comma 4 2 2 2 5 3" xfId="5428" xr:uid="{00000000-0005-0000-0000-0000F0070000}"/>
    <cellStyle name="Comma 4 2 2 2 5 3 2" xfId="13870" xr:uid="{F709BE5D-173F-45EA-A818-753E1E1A8BFE}"/>
    <cellStyle name="Comma 4 2 2 2 5 4" xfId="9652" xr:uid="{A013B4E5-CBD2-4F31-90F3-0FFDA3F7F270}"/>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AA526F74-5A0F-488B-92B0-44917D6D39CF}"/>
    <cellStyle name="Comma 4 2 2 2 6 2 3" xfId="12210" xr:uid="{0F181A6D-64F9-4FB1-8EF6-816B25490B0B}"/>
    <cellStyle name="Comma 4 2 2 2 6 3" xfId="5841" xr:uid="{00000000-0005-0000-0000-0000F4070000}"/>
    <cellStyle name="Comma 4 2 2 2 6 3 2" xfId="14283" xr:uid="{E1498C6D-35EA-4F54-8066-D9DA78652404}"/>
    <cellStyle name="Comma 4 2 2 2 6 4" xfId="10065" xr:uid="{165664FC-E76C-45A4-A032-79BAF08D8798}"/>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30400CEF-0EB5-4486-A6E9-01E4ABE632A9}"/>
    <cellStyle name="Comma 4 2 2 2 7 2 3" xfId="12623" xr:uid="{86E32CA9-4BC8-4877-9CC3-533B0E6E2ABF}"/>
    <cellStyle name="Comma 4 2 2 2 7 3" xfId="6254" xr:uid="{00000000-0005-0000-0000-0000F8070000}"/>
    <cellStyle name="Comma 4 2 2 2 7 3 2" xfId="14696" xr:uid="{94DA0918-D42A-4820-B267-32ED4A894755}"/>
    <cellStyle name="Comma 4 2 2 2 7 4" xfId="10478" xr:uid="{4ABB071B-F301-44E7-B94D-7D553DB08632}"/>
    <cellStyle name="Comma 4 2 2 2 8" xfId="2382" xr:uid="{00000000-0005-0000-0000-0000F9070000}"/>
    <cellStyle name="Comma 4 2 2 2 8 2" xfId="6667" xr:uid="{00000000-0005-0000-0000-0000FA070000}"/>
    <cellStyle name="Comma 4 2 2 2 8 2 2" xfId="15109" xr:uid="{971673A1-2E16-45A8-826C-969DD1E8F8E3}"/>
    <cellStyle name="Comma 4 2 2 2 8 3" xfId="10891" xr:uid="{010DDF67-382E-410E-89BA-94F13421A3C2}"/>
    <cellStyle name="Comma 4 2 2 2 9" xfId="2381" xr:uid="{00000000-0005-0000-0000-0000FB070000}"/>
    <cellStyle name="Comma 4 2 2 3" xfId="132" xr:uid="{00000000-0005-0000-0000-0000FC070000}"/>
    <cellStyle name="Comma 4 2 2 3 10" xfId="4605" xr:uid="{00000000-0005-0000-0000-0000FD070000}"/>
    <cellStyle name="Comma 4 2 2 3 10 2" xfId="13047" xr:uid="{6500C4C0-7161-4403-AAB7-8438FBA28708}"/>
    <cellStyle name="Comma 4 2 2 3 11" xfId="8829" xr:uid="{19960A8C-E4F4-44C3-A8FE-1CD804EA71FA}"/>
    <cellStyle name="Comma 4 2 2 3 2" xfId="133" xr:uid="{00000000-0005-0000-0000-0000FE070000}"/>
    <cellStyle name="Comma 4 2 2 3 2 10" xfId="8830" xr:uid="{3B546B98-989E-4241-ACBF-C7D432118D75}"/>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B3BF2548-4D5A-4327-9B2C-C7C4EF8F87BC}"/>
    <cellStyle name="Comma 4 2 2 3 2 2 2 3" xfId="11389" xr:uid="{9CF322EC-9400-4698-A2BF-AA908E4CFC7F}"/>
    <cellStyle name="Comma 4 2 2 3 2 2 3" xfId="5020" xr:uid="{00000000-0005-0000-0000-000002080000}"/>
    <cellStyle name="Comma 4 2 2 3 2 2 3 2" xfId="13462" xr:uid="{7FEB5421-4D31-4ED3-B925-0570D1A8E8BB}"/>
    <cellStyle name="Comma 4 2 2 3 2 2 4" xfId="9244" xr:uid="{6B9731A1-76DC-4407-A4AB-C5CE29CD84DC}"/>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6FCC4D70-6A96-4735-ACA0-63DF8CAEDBE4}"/>
    <cellStyle name="Comma 4 2 2 3 2 3 2 3" xfId="11802" xr:uid="{C8F29792-CB0F-4859-9978-8732DE5D916A}"/>
    <cellStyle name="Comma 4 2 2 3 2 3 3" xfId="5433" xr:uid="{00000000-0005-0000-0000-000006080000}"/>
    <cellStyle name="Comma 4 2 2 3 2 3 3 2" xfId="13875" xr:uid="{B9DEDA53-C230-42FE-AD48-F996F81C8C52}"/>
    <cellStyle name="Comma 4 2 2 3 2 3 4" xfId="9657" xr:uid="{C0B18C33-97F4-4DF3-8901-808489BB96A7}"/>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A8D68614-D5E5-45FE-8CB9-6D257A00A0D9}"/>
    <cellStyle name="Comma 4 2 2 3 2 4 2 3" xfId="12215" xr:uid="{C99A6128-FD18-4C7A-8CB0-E52A5E23A0CB}"/>
    <cellStyle name="Comma 4 2 2 3 2 4 3" xfId="5846" xr:uid="{00000000-0005-0000-0000-00000A080000}"/>
    <cellStyle name="Comma 4 2 2 3 2 4 3 2" xfId="14288" xr:uid="{4CFF50DC-3DE3-431E-82AF-22BA3CA8E080}"/>
    <cellStyle name="Comma 4 2 2 3 2 4 4" xfId="10070" xr:uid="{0BF4E97D-0CF6-45E6-B859-91F5D160A9F2}"/>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D38E49F1-7231-47E2-AAA3-C4613A08CF2A}"/>
    <cellStyle name="Comma 4 2 2 3 2 5 2 3" xfId="12628" xr:uid="{65752E74-87C9-4BE8-9201-8888A2C53144}"/>
    <cellStyle name="Comma 4 2 2 3 2 5 3" xfId="6259" xr:uid="{00000000-0005-0000-0000-00000E080000}"/>
    <cellStyle name="Comma 4 2 2 3 2 5 3 2" xfId="14701" xr:uid="{68BA708A-0590-4FAE-91CD-53FC094E69DA}"/>
    <cellStyle name="Comma 4 2 2 3 2 5 4" xfId="10483" xr:uid="{A7580565-6FE8-4EF9-A3A9-2ABEA8F7350D}"/>
    <cellStyle name="Comma 4 2 2 3 2 6" xfId="2387" xr:uid="{00000000-0005-0000-0000-00000F080000}"/>
    <cellStyle name="Comma 4 2 2 3 2 6 2" xfId="6672" xr:uid="{00000000-0005-0000-0000-000010080000}"/>
    <cellStyle name="Comma 4 2 2 3 2 6 2 2" xfId="15114" xr:uid="{38301BFC-7715-4DDC-BCF7-98E3AF124A02}"/>
    <cellStyle name="Comma 4 2 2 3 2 6 3" xfId="10896" xr:uid="{969BD240-2F47-4161-81EB-1E7566D672DE}"/>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395C184B-01B9-4C04-BAA3-D767FCD259C2}"/>
    <cellStyle name="Comma 4 2 2 3 2 8 3" xfId="11213" xr:uid="{A6DBE5D5-26F6-44B8-8FDE-44D3CE6ED7D3}"/>
    <cellStyle name="Comma 4 2 2 3 2 9" xfId="4606" xr:uid="{00000000-0005-0000-0000-000014080000}"/>
    <cellStyle name="Comma 4 2 2 3 2 9 2" xfId="13048" xr:uid="{C7DF53EE-D0D4-48AB-AA48-33C05DDDDDA6}"/>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251205A4-C827-4A46-BB33-06B58E271454}"/>
    <cellStyle name="Comma 4 2 2 3 3 2 3" xfId="11388" xr:uid="{D8159771-772E-4AE3-B569-76DA361EF4F2}"/>
    <cellStyle name="Comma 4 2 2 3 3 3" xfId="5019" xr:uid="{00000000-0005-0000-0000-000018080000}"/>
    <cellStyle name="Comma 4 2 2 3 3 3 2" xfId="13461" xr:uid="{EBEAD430-6824-4832-9E7E-9C6DB6ABE241}"/>
    <cellStyle name="Comma 4 2 2 3 3 4" xfId="9243" xr:uid="{D7C6225D-C6EC-439E-BBF3-EA556D280E7B}"/>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DC84810E-EF78-4F8D-B23D-11DE2C5E7568}"/>
    <cellStyle name="Comma 4 2 2 3 4 2 3" xfId="11801" xr:uid="{7948AF69-B077-4E3D-AF39-214D1D08BFC5}"/>
    <cellStyle name="Comma 4 2 2 3 4 3" xfId="5432" xr:uid="{00000000-0005-0000-0000-00001C080000}"/>
    <cellStyle name="Comma 4 2 2 3 4 3 2" xfId="13874" xr:uid="{43FFE164-9259-47D4-A8EE-4F963CB77A24}"/>
    <cellStyle name="Comma 4 2 2 3 4 4" xfId="9656" xr:uid="{67D25920-B6C6-472D-988A-604AA93B68F1}"/>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537392B1-316F-4862-97A2-1221D252D07A}"/>
    <cellStyle name="Comma 4 2 2 3 5 2 3" xfId="12214" xr:uid="{6376AEED-1E0D-4B49-987E-C513A3F906CF}"/>
    <cellStyle name="Comma 4 2 2 3 5 3" xfId="5845" xr:uid="{00000000-0005-0000-0000-000020080000}"/>
    <cellStyle name="Comma 4 2 2 3 5 3 2" xfId="14287" xr:uid="{3B6342AB-3117-43BC-90C6-83AD694EAB18}"/>
    <cellStyle name="Comma 4 2 2 3 5 4" xfId="10069" xr:uid="{317A88F5-E61D-44A2-8764-C823A70D16FA}"/>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1EAE673A-0CF4-4D65-A5B6-55E7FBB28FFD}"/>
    <cellStyle name="Comma 4 2 2 3 6 2 3" xfId="12627" xr:uid="{E12909A8-7C26-4B2A-A651-74195731647B}"/>
    <cellStyle name="Comma 4 2 2 3 6 3" xfId="6258" xr:uid="{00000000-0005-0000-0000-000024080000}"/>
    <cellStyle name="Comma 4 2 2 3 6 3 2" xfId="14700" xr:uid="{EE5EE551-528F-4F44-9B81-400D1FC6AA08}"/>
    <cellStyle name="Comma 4 2 2 3 6 4" xfId="10482" xr:uid="{CA5F5E3C-EDFE-43D2-8A59-FD187FC6EF4D}"/>
    <cellStyle name="Comma 4 2 2 3 7" xfId="2386" xr:uid="{00000000-0005-0000-0000-000025080000}"/>
    <cellStyle name="Comma 4 2 2 3 7 2" xfId="6671" xr:uid="{00000000-0005-0000-0000-000026080000}"/>
    <cellStyle name="Comma 4 2 2 3 7 2 2" xfId="15113" xr:uid="{1C8947CE-41D7-45C4-81F3-7A207FD6606C}"/>
    <cellStyle name="Comma 4 2 2 3 7 3" xfId="10895" xr:uid="{87A790EE-3557-4603-9E1E-297FF8A13C79}"/>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A879C30D-8B0C-45AF-9E64-FF7CB745AE62}"/>
    <cellStyle name="Comma 4 2 2 3 9 3" xfId="11212" xr:uid="{5A1726F2-84A6-441C-B3F5-B0E8D83F2566}"/>
    <cellStyle name="Comma 4 2 2 4" xfId="134" xr:uid="{00000000-0005-0000-0000-00002A080000}"/>
    <cellStyle name="Comma 4 2 2 4 10" xfId="8831" xr:uid="{33EC6294-40F5-4B3F-9A89-3A9EB0771ECF}"/>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BA63EF1E-2667-4125-9FF3-922EB88DE935}"/>
    <cellStyle name="Comma 4 2 2 4 2 2 3" xfId="11390" xr:uid="{19E74DFB-D2CF-4008-8AB5-9992889FC279}"/>
    <cellStyle name="Comma 4 2 2 4 2 3" xfId="5021" xr:uid="{00000000-0005-0000-0000-00002E080000}"/>
    <cellStyle name="Comma 4 2 2 4 2 3 2" xfId="13463" xr:uid="{0F77ACF8-F7AC-4922-AA0E-4B3579B3C67B}"/>
    <cellStyle name="Comma 4 2 2 4 2 4" xfId="9245" xr:uid="{E4C8A6F4-BD5E-4C36-ABF9-6798407E9A55}"/>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AE2575FC-D8B6-4B85-A032-D0F86C89C81B}"/>
    <cellStyle name="Comma 4 2 2 4 3 2 3" xfId="11803" xr:uid="{7D3E554C-67DC-45E5-AA69-DDED2B62ACE7}"/>
    <cellStyle name="Comma 4 2 2 4 3 3" xfId="5434" xr:uid="{00000000-0005-0000-0000-000032080000}"/>
    <cellStyle name="Comma 4 2 2 4 3 3 2" xfId="13876" xr:uid="{FDE77CF8-0321-41F1-AF2D-116C98BE7E39}"/>
    <cellStyle name="Comma 4 2 2 4 3 4" xfId="9658" xr:uid="{4AAA7D7C-CAD5-4A01-9537-19144A25DE48}"/>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F6C3D6FE-8BF8-48CA-B890-99249863F0EC}"/>
    <cellStyle name="Comma 4 2 2 4 4 2 3" xfId="12216" xr:uid="{5826D200-F60A-4889-809A-FE97E90AEEF5}"/>
    <cellStyle name="Comma 4 2 2 4 4 3" xfId="5847" xr:uid="{00000000-0005-0000-0000-000036080000}"/>
    <cellStyle name="Comma 4 2 2 4 4 3 2" xfId="14289" xr:uid="{9338018F-7BE2-41B0-83DE-F2C87BF0B23F}"/>
    <cellStyle name="Comma 4 2 2 4 4 4" xfId="10071" xr:uid="{E8C42B40-64FB-44CA-8DA6-063A4D8CD88A}"/>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674AE8E6-FC91-4A0B-B1E9-0F2438908EB2}"/>
    <cellStyle name="Comma 4 2 2 4 5 2 3" xfId="12629" xr:uid="{FD4735EC-B3E3-41C9-99E8-973F315C96E8}"/>
    <cellStyle name="Comma 4 2 2 4 5 3" xfId="6260" xr:uid="{00000000-0005-0000-0000-00003A080000}"/>
    <cellStyle name="Comma 4 2 2 4 5 3 2" xfId="14702" xr:uid="{FCCEF118-BB0C-4934-81E0-F0DBBB23A2C7}"/>
    <cellStyle name="Comma 4 2 2 4 5 4" xfId="10484" xr:uid="{85518E76-9504-4CD4-9C08-47A4E9129A14}"/>
    <cellStyle name="Comma 4 2 2 4 6" xfId="2388" xr:uid="{00000000-0005-0000-0000-00003B080000}"/>
    <cellStyle name="Comma 4 2 2 4 6 2" xfId="6673" xr:uid="{00000000-0005-0000-0000-00003C080000}"/>
    <cellStyle name="Comma 4 2 2 4 6 2 2" xfId="15115" xr:uid="{64111EA3-5A22-4F9E-91BE-E269440C153F}"/>
    <cellStyle name="Comma 4 2 2 4 6 3" xfId="10897" xr:uid="{CDA2B419-B1A5-459A-9267-2F69DF3E0AF6}"/>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1E9A317B-6AEF-4C6C-8199-5429041092E2}"/>
    <cellStyle name="Comma 4 2 2 4 8 3" xfId="11214" xr:uid="{A45EC313-95E1-4713-9DA9-4F35D5F57509}"/>
    <cellStyle name="Comma 4 2 2 4 9" xfId="4607" xr:uid="{00000000-0005-0000-0000-000040080000}"/>
    <cellStyle name="Comma 4 2 2 4 9 2" xfId="13049" xr:uid="{CC1058F2-4BBF-46FC-A37D-26840951963D}"/>
    <cellStyle name="Comma 4 2 2 5" xfId="135" xr:uid="{00000000-0005-0000-0000-000041080000}"/>
    <cellStyle name="Comma 4 2 2 5 10" xfId="8832" xr:uid="{851B7BBB-25C1-46F3-9CC8-36F9E804B813}"/>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1DD5FB2B-084D-4DC7-880D-A5ECE809E53F}"/>
    <cellStyle name="Comma 4 2 2 5 2 2 3" xfId="11391" xr:uid="{94CC6B5C-3F66-4C7F-A4E8-1CD9A68D669C}"/>
    <cellStyle name="Comma 4 2 2 5 2 3" xfId="5022" xr:uid="{00000000-0005-0000-0000-000045080000}"/>
    <cellStyle name="Comma 4 2 2 5 2 3 2" xfId="13464" xr:uid="{7482506D-98E0-43C0-9D0F-49E630D1AF09}"/>
    <cellStyle name="Comma 4 2 2 5 2 4" xfId="9246" xr:uid="{458FEB77-A821-4072-89EB-12CBA1BFE944}"/>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A6435477-6596-42EE-87BC-05BF8F41DADE}"/>
    <cellStyle name="Comma 4 2 2 5 3 2 3" xfId="11804" xr:uid="{988FC7DB-10AC-4892-97A1-7406F0AD1711}"/>
    <cellStyle name="Comma 4 2 2 5 3 3" xfId="5435" xr:uid="{00000000-0005-0000-0000-000049080000}"/>
    <cellStyle name="Comma 4 2 2 5 3 3 2" xfId="13877" xr:uid="{EE6DC631-9D5D-401A-8785-292E96B4ABA7}"/>
    <cellStyle name="Comma 4 2 2 5 3 4" xfId="9659" xr:uid="{BBF2569B-C33C-4904-B613-B7A16ADDF7C6}"/>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D49B57A8-24F9-44DF-BC3D-F9F50BC3A91B}"/>
    <cellStyle name="Comma 4 2 2 5 4 2 3" xfId="12217" xr:uid="{E84B9884-25C4-4A4D-8574-EE2B3DC4B683}"/>
    <cellStyle name="Comma 4 2 2 5 4 3" xfId="5848" xr:uid="{00000000-0005-0000-0000-00004D080000}"/>
    <cellStyle name="Comma 4 2 2 5 4 3 2" xfId="14290" xr:uid="{8D715FD1-914F-4D2B-81DD-36B25258EC62}"/>
    <cellStyle name="Comma 4 2 2 5 4 4" xfId="10072" xr:uid="{11958593-41A0-455C-A317-6CD350C8D36D}"/>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C9DAFB36-A561-4612-86DE-ADE2DB84EA1A}"/>
    <cellStyle name="Comma 4 2 2 5 5 2 3" xfId="12630" xr:uid="{16CD2A47-2B50-430C-A72A-FC83119C462C}"/>
    <cellStyle name="Comma 4 2 2 5 5 3" xfId="6261" xr:uid="{00000000-0005-0000-0000-000051080000}"/>
    <cellStyle name="Comma 4 2 2 5 5 3 2" xfId="14703" xr:uid="{4DAC62EF-9A84-4E37-96A6-FE0D69A6FB51}"/>
    <cellStyle name="Comma 4 2 2 5 5 4" xfId="10485" xr:uid="{3D79320C-6EBF-43F1-BFB4-3EF54E7ED6EE}"/>
    <cellStyle name="Comma 4 2 2 5 6" xfId="2389" xr:uid="{00000000-0005-0000-0000-000052080000}"/>
    <cellStyle name="Comma 4 2 2 5 6 2" xfId="6674" xr:uid="{00000000-0005-0000-0000-000053080000}"/>
    <cellStyle name="Comma 4 2 2 5 6 2 2" xfId="15116" xr:uid="{9DA65D14-A6CA-4789-962F-1F357D9FFCC4}"/>
    <cellStyle name="Comma 4 2 2 5 6 3" xfId="10898" xr:uid="{5CD8E0F3-05DA-415F-A304-4126B43D5483}"/>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2C412FBB-563E-4967-96BD-9A41FC88ECBE}"/>
    <cellStyle name="Comma 4 2 2 5 8 3" xfId="11215" xr:uid="{61876A2C-6386-46E3-98EF-7D5BBA21630F}"/>
    <cellStyle name="Comma 4 2 2 5 9" xfId="4608" xr:uid="{00000000-0005-0000-0000-000057080000}"/>
    <cellStyle name="Comma 4 2 2 5 9 2" xfId="13050" xr:uid="{7BF97BAE-33E7-45B1-B7F1-75DDCE18040B}"/>
    <cellStyle name="Comma 4 2 3" xfId="136" xr:uid="{00000000-0005-0000-0000-000058080000}"/>
    <cellStyle name="Comma 4 2 3 10" xfId="2768" xr:uid="{00000000-0005-0000-0000-000059080000}"/>
    <cellStyle name="Comma 4 2 3 10 2" xfId="6992" xr:uid="{00000000-0005-0000-0000-00005A080000}"/>
    <cellStyle name="Comma 4 2 3 10 2 2" xfId="15434" xr:uid="{A702A125-BB87-4E55-8537-AE9DAFE137C0}"/>
    <cellStyle name="Comma 4 2 3 10 3" xfId="11216" xr:uid="{03A61673-3732-4BD2-8ACC-3193C3F73B62}"/>
    <cellStyle name="Comma 4 2 3 11" xfId="4609" xr:uid="{00000000-0005-0000-0000-00005B080000}"/>
    <cellStyle name="Comma 4 2 3 11 2" xfId="13051" xr:uid="{FFE03D77-1F78-4A0A-B303-5CE5ACB71666}"/>
    <cellStyle name="Comma 4 2 3 12" xfId="8833" xr:uid="{9275276F-4EA3-4CBC-BED2-12F46D455FCC}"/>
    <cellStyle name="Comma 4 2 3 2" xfId="137" xr:uid="{00000000-0005-0000-0000-00005C080000}"/>
    <cellStyle name="Comma 4 2 3 2 10" xfId="4610" xr:uid="{00000000-0005-0000-0000-00005D080000}"/>
    <cellStyle name="Comma 4 2 3 2 10 2" xfId="13052" xr:uid="{21DE9C47-166E-4F5D-9881-D0A5A78CBB19}"/>
    <cellStyle name="Comma 4 2 3 2 11" xfId="8834" xr:uid="{0B0B505A-227B-44C7-9ECE-C2F0C26AAC97}"/>
    <cellStyle name="Comma 4 2 3 2 2" xfId="138" xr:uid="{00000000-0005-0000-0000-00005E080000}"/>
    <cellStyle name="Comma 4 2 3 2 2 10" xfId="8835" xr:uid="{B2026841-BAF9-4B7E-926B-088B365A284D}"/>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270C4F9A-7B17-4821-A178-7E1EB89D6B09}"/>
    <cellStyle name="Comma 4 2 3 2 2 2 2 3" xfId="11394" xr:uid="{C77CCEC8-E052-4718-856C-228FF77DEACB}"/>
    <cellStyle name="Comma 4 2 3 2 2 2 3" xfId="5025" xr:uid="{00000000-0005-0000-0000-000062080000}"/>
    <cellStyle name="Comma 4 2 3 2 2 2 3 2" xfId="13467" xr:uid="{DC5FA613-7D87-44D3-837B-7661BE162965}"/>
    <cellStyle name="Comma 4 2 3 2 2 2 4" xfId="9249" xr:uid="{DA78A4EF-742D-4358-81BF-51945E847E88}"/>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E5BC8F48-30E5-409A-BD7B-A13C4321AFDC}"/>
    <cellStyle name="Comma 4 2 3 2 2 3 2 3" xfId="11807" xr:uid="{C6A4C52D-C8FD-4B7A-AB7F-9D8D746AFC3E}"/>
    <cellStyle name="Comma 4 2 3 2 2 3 3" xfId="5438" xr:uid="{00000000-0005-0000-0000-000066080000}"/>
    <cellStyle name="Comma 4 2 3 2 2 3 3 2" xfId="13880" xr:uid="{386937B0-E68D-467F-BB7E-832B008C828C}"/>
    <cellStyle name="Comma 4 2 3 2 2 3 4" xfId="9662" xr:uid="{8F1D7ADC-CE6A-436C-9029-57E783B2B525}"/>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2EF20480-C96A-4574-BD73-983E8E5CD2C7}"/>
    <cellStyle name="Comma 4 2 3 2 2 4 2 3" xfId="12220" xr:uid="{B402221A-4991-424B-8705-21B9A84672DA}"/>
    <cellStyle name="Comma 4 2 3 2 2 4 3" xfId="5851" xr:uid="{00000000-0005-0000-0000-00006A080000}"/>
    <cellStyle name="Comma 4 2 3 2 2 4 3 2" xfId="14293" xr:uid="{512FED4C-986D-4695-9C32-1353889247C9}"/>
    <cellStyle name="Comma 4 2 3 2 2 4 4" xfId="10075" xr:uid="{C66127E9-984E-4F4D-AAB2-871EF5791A1D}"/>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3D5AD1C3-29E0-4A0D-BB7E-188ADCEFEF25}"/>
    <cellStyle name="Comma 4 2 3 2 2 5 2 3" xfId="12633" xr:uid="{17E4D6DD-2B4C-45E7-8C5B-35C84C35E731}"/>
    <cellStyle name="Comma 4 2 3 2 2 5 3" xfId="6264" xr:uid="{00000000-0005-0000-0000-00006E080000}"/>
    <cellStyle name="Comma 4 2 3 2 2 5 3 2" xfId="14706" xr:uid="{29BE7975-A577-48F7-A1D1-421503557D8A}"/>
    <cellStyle name="Comma 4 2 3 2 2 5 4" xfId="10488" xr:uid="{02EF2600-DC7F-4CEA-B20C-2502BFEF85B0}"/>
    <cellStyle name="Comma 4 2 3 2 2 6" xfId="2392" xr:uid="{00000000-0005-0000-0000-00006F080000}"/>
    <cellStyle name="Comma 4 2 3 2 2 6 2" xfId="6677" xr:uid="{00000000-0005-0000-0000-000070080000}"/>
    <cellStyle name="Comma 4 2 3 2 2 6 2 2" xfId="15119" xr:uid="{416EADF7-2BFF-4743-8FCC-0BEC15A9DEE8}"/>
    <cellStyle name="Comma 4 2 3 2 2 6 3" xfId="10901" xr:uid="{A834BDDC-3616-4DC1-AECC-71C392D66AB3}"/>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782B9140-BDFF-4AAB-933B-17DF3C19B288}"/>
    <cellStyle name="Comma 4 2 3 2 2 8 3" xfId="11218" xr:uid="{26E058E6-78B8-47FC-8DBF-0A27FDBB1EE6}"/>
    <cellStyle name="Comma 4 2 3 2 2 9" xfId="4611" xr:uid="{00000000-0005-0000-0000-000074080000}"/>
    <cellStyle name="Comma 4 2 3 2 2 9 2" xfId="13053" xr:uid="{4D3A3446-A621-468B-9E05-2F9ED77FB4D3}"/>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3F8E6294-8A71-4E36-BDBB-78D8010F4F4A}"/>
    <cellStyle name="Comma 4 2 3 2 3 2 3" xfId="11393" xr:uid="{E98D8F72-1FE3-4989-9A04-8928EB4FBA57}"/>
    <cellStyle name="Comma 4 2 3 2 3 3" xfId="5024" xr:uid="{00000000-0005-0000-0000-000078080000}"/>
    <cellStyle name="Comma 4 2 3 2 3 3 2" xfId="13466" xr:uid="{ABD5337F-5925-4FB6-8FFB-DDD8EB984DCF}"/>
    <cellStyle name="Comma 4 2 3 2 3 4" xfId="9248" xr:uid="{1FC54D0C-4A70-4B48-AF83-DFE209450317}"/>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4B3FD613-F6D3-4508-849C-61A083C2A285}"/>
    <cellStyle name="Comma 4 2 3 2 4 2 3" xfId="11806" xr:uid="{1F3660C3-98F9-440B-9D01-96B2C1FDC4EB}"/>
    <cellStyle name="Comma 4 2 3 2 4 3" xfId="5437" xr:uid="{00000000-0005-0000-0000-00007C080000}"/>
    <cellStyle name="Comma 4 2 3 2 4 3 2" xfId="13879" xr:uid="{FEFA0403-A493-429C-94B2-499A362A9F94}"/>
    <cellStyle name="Comma 4 2 3 2 4 4" xfId="9661" xr:uid="{E1D7A36C-3D6F-410D-9800-A9AC5003603F}"/>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7F062E1E-0DCD-4E93-94D0-45716A9F7876}"/>
    <cellStyle name="Comma 4 2 3 2 5 2 3" xfId="12219" xr:uid="{EAE7B788-BB94-4E0B-9D84-B3F710866646}"/>
    <cellStyle name="Comma 4 2 3 2 5 3" xfId="5850" xr:uid="{00000000-0005-0000-0000-000080080000}"/>
    <cellStyle name="Comma 4 2 3 2 5 3 2" xfId="14292" xr:uid="{54BB8CDA-7B7A-4DE4-B4B9-8FD224AB8DC7}"/>
    <cellStyle name="Comma 4 2 3 2 5 4" xfId="10074" xr:uid="{366316F1-BFCB-46BB-AF83-59DD09F05221}"/>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1CC315A9-1507-4F4C-8842-4165082F1B83}"/>
    <cellStyle name="Comma 4 2 3 2 6 2 3" xfId="12632" xr:uid="{407D1B35-9931-48DF-B306-073AB83AA42D}"/>
    <cellStyle name="Comma 4 2 3 2 6 3" xfId="6263" xr:uid="{00000000-0005-0000-0000-000084080000}"/>
    <cellStyle name="Comma 4 2 3 2 6 3 2" xfId="14705" xr:uid="{0170B982-181D-47DB-8C58-8C72BA74DEEA}"/>
    <cellStyle name="Comma 4 2 3 2 6 4" xfId="10487" xr:uid="{C7CA8230-46DC-4311-9F65-204C599C35B5}"/>
    <cellStyle name="Comma 4 2 3 2 7" xfId="2391" xr:uid="{00000000-0005-0000-0000-000085080000}"/>
    <cellStyle name="Comma 4 2 3 2 7 2" xfId="6676" xr:uid="{00000000-0005-0000-0000-000086080000}"/>
    <cellStyle name="Comma 4 2 3 2 7 2 2" xfId="15118" xr:uid="{ECB60A3D-8534-4A4B-ACF2-8987D6039357}"/>
    <cellStyle name="Comma 4 2 3 2 7 3" xfId="10900" xr:uid="{0A50FB61-DFD1-4EA1-B669-371099E5C574}"/>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DEAB3B6D-783C-4F59-8B64-8E0126A80E19}"/>
    <cellStyle name="Comma 4 2 3 2 9 3" xfId="11217" xr:uid="{959DEAB0-A2A9-460B-8CF8-D9893A9F9B36}"/>
    <cellStyle name="Comma 4 2 3 3" xfId="139" xr:uid="{00000000-0005-0000-0000-00008A080000}"/>
    <cellStyle name="Comma 4 2 3 3 10" xfId="8836" xr:uid="{707A0C95-B089-43F3-97DC-52790E71F8FE}"/>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9ADBD2A0-5A18-4D04-8A95-699942CBE540}"/>
    <cellStyle name="Comma 4 2 3 3 2 2 3" xfId="11395" xr:uid="{A6A28626-915D-490B-9D23-F21778FAC2D5}"/>
    <cellStyle name="Comma 4 2 3 3 2 3" xfId="5026" xr:uid="{00000000-0005-0000-0000-00008E080000}"/>
    <cellStyle name="Comma 4 2 3 3 2 3 2" xfId="13468" xr:uid="{82152FCB-49F4-4EA7-8BA7-3D2BDCC8D00E}"/>
    <cellStyle name="Comma 4 2 3 3 2 4" xfId="9250" xr:uid="{0E45706E-CE55-4005-BF27-01C4E9F8589C}"/>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2110C268-0B7A-44DA-AC9F-2E6A4911FDFC}"/>
    <cellStyle name="Comma 4 2 3 3 3 2 3" xfId="11808" xr:uid="{BAC14A42-2679-47BA-B261-1068C05D8E92}"/>
    <cellStyle name="Comma 4 2 3 3 3 3" xfId="5439" xr:uid="{00000000-0005-0000-0000-000092080000}"/>
    <cellStyle name="Comma 4 2 3 3 3 3 2" xfId="13881" xr:uid="{E439257B-4959-4C2E-83AA-23818ED7EE88}"/>
    <cellStyle name="Comma 4 2 3 3 3 4" xfId="9663" xr:uid="{9157E8EE-9CC4-4E00-96C2-0C4D4624C443}"/>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9D827575-E95B-4C67-9DF2-35517692C29B}"/>
    <cellStyle name="Comma 4 2 3 3 4 2 3" xfId="12221" xr:uid="{B40208CF-2BA1-4C74-9165-A8717070524B}"/>
    <cellStyle name="Comma 4 2 3 3 4 3" xfId="5852" xr:uid="{00000000-0005-0000-0000-000096080000}"/>
    <cellStyle name="Comma 4 2 3 3 4 3 2" xfId="14294" xr:uid="{4A78E501-8315-4D54-81B9-514D863D5072}"/>
    <cellStyle name="Comma 4 2 3 3 4 4" xfId="10076" xr:uid="{0279E6CE-A1C6-470F-BC32-0C26E100146E}"/>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681753D5-FE8B-4C7A-B355-E07E3AB9ED1C}"/>
    <cellStyle name="Comma 4 2 3 3 5 2 3" xfId="12634" xr:uid="{3638D1B5-B864-40B3-A6ED-CC46CC7FD93E}"/>
    <cellStyle name="Comma 4 2 3 3 5 3" xfId="6265" xr:uid="{00000000-0005-0000-0000-00009A080000}"/>
    <cellStyle name="Comma 4 2 3 3 5 3 2" xfId="14707" xr:uid="{5769968F-DCF2-4DA6-8CC4-D3D4370F125C}"/>
    <cellStyle name="Comma 4 2 3 3 5 4" xfId="10489" xr:uid="{8BCB1D00-2D58-4C7A-8997-049973757CAE}"/>
    <cellStyle name="Comma 4 2 3 3 6" xfId="2393" xr:uid="{00000000-0005-0000-0000-00009B080000}"/>
    <cellStyle name="Comma 4 2 3 3 6 2" xfId="6678" xr:uid="{00000000-0005-0000-0000-00009C080000}"/>
    <cellStyle name="Comma 4 2 3 3 6 2 2" xfId="15120" xr:uid="{ECDCA7EC-58E5-499A-816F-4BD6B7E2B10E}"/>
    <cellStyle name="Comma 4 2 3 3 6 3" xfId="10902" xr:uid="{EA6B9668-6EB8-4BC7-B984-0B1DE517C68E}"/>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13816B41-234F-4C2D-84DD-71BD60939314}"/>
    <cellStyle name="Comma 4 2 3 3 8 3" xfId="11219" xr:uid="{3C5B24B8-DB11-49D8-81C8-2AD460A7EF6E}"/>
    <cellStyle name="Comma 4 2 3 3 9" xfId="4612" xr:uid="{00000000-0005-0000-0000-0000A0080000}"/>
    <cellStyle name="Comma 4 2 3 3 9 2" xfId="13054" xr:uid="{916DB160-9BB6-4FA7-AF3E-3ED536A8728C}"/>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38C8B9CA-AD45-416D-A7B6-131D5556FFD7}"/>
    <cellStyle name="Comma 4 2 3 4 2 3" xfId="11392" xr:uid="{FD2BE101-88C7-4767-9C50-E1D03CFEBF03}"/>
    <cellStyle name="Comma 4 2 3 4 3" xfId="5023" xr:uid="{00000000-0005-0000-0000-0000A4080000}"/>
    <cellStyle name="Comma 4 2 3 4 3 2" xfId="13465" xr:uid="{CDD54222-63D2-476D-98AF-037248179830}"/>
    <cellStyle name="Comma 4 2 3 4 4" xfId="9247" xr:uid="{B32334F5-F44C-486F-8185-C9BAB94193CA}"/>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4ABB8C17-540C-49BF-BC52-184FCCFB5572}"/>
    <cellStyle name="Comma 4 2 3 5 2 3" xfId="11805" xr:uid="{591D03FF-6C57-4CEB-888B-DEA1AF4DDD65}"/>
    <cellStyle name="Comma 4 2 3 5 3" xfId="5436" xr:uid="{00000000-0005-0000-0000-0000A8080000}"/>
    <cellStyle name="Comma 4 2 3 5 3 2" xfId="13878" xr:uid="{938B80B8-EBCB-491B-A81C-BB62A412CD75}"/>
    <cellStyle name="Comma 4 2 3 5 4" xfId="9660" xr:uid="{4F270EAE-406E-4E08-8D7F-39EA8D215945}"/>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13A9C8B3-8677-4549-86F9-CC5ACF2FEE16}"/>
    <cellStyle name="Comma 4 2 3 6 2 3" xfId="12218" xr:uid="{D535BAC0-8254-496B-AF24-4AEA5E6DC694}"/>
    <cellStyle name="Comma 4 2 3 6 3" xfId="5849" xr:uid="{00000000-0005-0000-0000-0000AC080000}"/>
    <cellStyle name="Comma 4 2 3 6 3 2" xfId="14291" xr:uid="{FAB90680-EA11-4883-93E9-52F38D1B681E}"/>
    <cellStyle name="Comma 4 2 3 6 4" xfId="10073" xr:uid="{87F1AF7D-4706-4F6C-BA91-39416BD39EA2}"/>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B174A13B-6F7D-4FA9-A4DF-B404FD625CCA}"/>
    <cellStyle name="Comma 4 2 3 7 2 3" xfId="12631" xr:uid="{DDD0BAA6-3F87-49FE-9FCF-9588CA65DBFE}"/>
    <cellStyle name="Comma 4 2 3 7 3" xfId="6262" xr:uid="{00000000-0005-0000-0000-0000B0080000}"/>
    <cellStyle name="Comma 4 2 3 7 3 2" xfId="14704" xr:uid="{907519AE-9958-4EDC-A645-B79FA4BE78FF}"/>
    <cellStyle name="Comma 4 2 3 7 4" xfId="10486" xr:uid="{AB0B13B7-EAE6-4561-9848-2CF943DF8B06}"/>
    <cellStyle name="Comma 4 2 3 8" xfId="2390" xr:uid="{00000000-0005-0000-0000-0000B1080000}"/>
    <cellStyle name="Comma 4 2 3 8 2" xfId="6675" xr:uid="{00000000-0005-0000-0000-0000B2080000}"/>
    <cellStyle name="Comma 4 2 3 8 2 2" xfId="15117" xr:uid="{8DC98380-A168-4130-A9E5-0A14E64AE227}"/>
    <cellStyle name="Comma 4 2 3 8 3" xfId="10899" xr:uid="{E23337F7-9737-46A4-91BD-184EFD83446A}"/>
    <cellStyle name="Comma 4 2 3 9" xfId="2373" xr:uid="{00000000-0005-0000-0000-0000B3080000}"/>
    <cellStyle name="Comma 4 2 4" xfId="140" xr:uid="{00000000-0005-0000-0000-0000B4080000}"/>
    <cellStyle name="Comma 4 2 4 10" xfId="4613" xr:uid="{00000000-0005-0000-0000-0000B5080000}"/>
    <cellStyle name="Comma 4 2 4 10 2" xfId="13055" xr:uid="{C2820EF6-4FA7-4D61-AF4B-847EF4CC26A7}"/>
    <cellStyle name="Comma 4 2 4 11" xfId="8837" xr:uid="{16569192-DE6A-4C75-A973-472054E7F70B}"/>
    <cellStyle name="Comma 4 2 4 2" xfId="141" xr:uid="{00000000-0005-0000-0000-0000B6080000}"/>
    <cellStyle name="Comma 4 2 4 2 10" xfId="8838" xr:uid="{B4D66522-F8C5-40DB-A518-85A7278268A4}"/>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E37E602B-45C9-4470-8A7D-879A548A4779}"/>
    <cellStyle name="Comma 4 2 4 2 2 2 3" xfId="11397" xr:uid="{01881881-A7F2-415F-8C82-0B792EDE0577}"/>
    <cellStyle name="Comma 4 2 4 2 2 3" xfId="5028" xr:uid="{00000000-0005-0000-0000-0000BA080000}"/>
    <cellStyle name="Comma 4 2 4 2 2 3 2" xfId="13470" xr:uid="{1BA0B630-4F1E-4508-8F3F-7D87B4C51D1E}"/>
    <cellStyle name="Comma 4 2 4 2 2 4" xfId="9252" xr:uid="{F12D0F5D-CBA9-4DBD-B835-B25413A3DC58}"/>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B7005CEC-EA03-4F60-BB86-EE1C30A45001}"/>
    <cellStyle name="Comma 4 2 4 2 3 2 3" xfId="11810" xr:uid="{5FB43F3D-F3A2-4C39-A0E3-424C1176DEEE}"/>
    <cellStyle name="Comma 4 2 4 2 3 3" xfId="5441" xr:uid="{00000000-0005-0000-0000-0000BE080000}"/>
    <cellStyle name="Comma 4 2 4 2 3 3 2" xfId="13883" xr:uid="{C1F9EC16-2BFE-4E0F-ACB9-AFDE609B0AC4}"/>
    <cellStyle name="Comma 4 2 4 2 3 4" xfId="9665" xr:uid="{7FB75C3D-9764-4280-B2C6-92107127719B}"/>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BDC1FF38-8196-49EA-89AD-04E2C76DBC11}"/>
    <cellStyle name="Comma 4 2 4 2 4 2 3" xfId="12223" xr:uid="{49FC92CF-5421-457E-B1A8-1A2A7330A537}"/>
    <cellStyle name="Comma 4 2 4 2 4 3" xfId="5854" xr:uid="{00000000-0005-0000-0000-0000C2080000}"/>
    <cellStyle name="Comma 4 2 4 2 4 3 2" xfId="14296" xr:uid="{AE712D57-2388-4EC9-B1B0-D179205620F5}"/>
    <cellStyle name="Comma 4 2 4 2 4 4" xfId="10078" xr:uid="{D90A624D-C205-4FDB-A904-8DB4825DA0D0}"/>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DD5E4E7B-8022-4C16-BB58-0632A555C761}"/>
    <cellStyle name="Comma 4 2 4 2 5 2 3" xfId="12636" xr:uid="{C6F3A9F6-4DD1-4DBC-87B5-4B93F7643658}"/>
    <cellStyle name="Comma 4 2 4 2 5 3" xfId="6267" xr:uid="{00000000-0005-0000-0000-0000C6080000}"/>
    <cellStyle name="Comma 4 2 4 2 5 3 2" xfId="14709" xr:uid="{8FA421F1-EEDD-4308-8640-80F969D7EE89}"/>
    <cellStyle name="Comma 4 2 4 2 5 4" xfId="10491" xr:uid="{D00FDE41-3D83-4334-A377-B3B40D8CBB56}"/>
    <cellStyle name="Comma 4 2 4 2 6" xfId="2395" xr:uid="{00000000-0005-0000-0000-0000C7080000}"/>
    <cellStyle name="Comma 4 2 4 2 6 2" xfId="6680" xr:uid="{00000000-0005-0000-0000-0000C8080000}"/>
    <cellStyle name="Comma 4 2 4 2 6 2 2" xfId="15122" xr:uid="{EF89662C-068C-4986-B557-C34CF010D7DA}"/>
    <cellStyle name="Comma 4 2 4 2 6 3" xfId="10904" xr:uid="{AC59155A-4554-4B4D-AF82-1AC90093A88D}"/>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1A553F42-8270-4373-87AB-26EB57BBAD21}"/>
    <cellStyle name="Comma 4 2 4 2 8 3" xfId="11221" xr:uid="{01DA13F0-0661-4D4E-B7BC-FFFDA4831964}"/>
    <cellStyle name="Comma 4 2 4 2 9" xfId="4614" xr:uid="{00000000-0005-0000-0000-0000CC080000}"/>
    <cellStyle name="Comma 4 2 4 2 9 2" xfId="13056" xr:uid="{7F72FD49-DFC1-481B-8F40-2DA72A147A6C}"/>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033B5476-8005-430F-978A-434F9651C3F4}"/>
    <cellStyle name="Comma 4 2 4 3 2 3" xfId="11396" xr:uid="{D5162036-EEC4-4158-8457-6BA795AEC8C9}"/>
    <cellStyle name="Comma 4 2 4 3 3" xfId="5027" xr:uid="{00000000-0005-0000-0000-0000D0080000}"/>
    <cellStyle name="Comma 4 2 4 3 3 2" xfId="13469" xr:uid="{326EF1B3-2080-4DF2-8431-082679DE0FED}"/>
    <cellStyle name="Comma 4 2 4 3 4" xfId="9251" xr:uid="{1D250DEF-4E67-43C8-8EDA-260660536D6F}"/>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33BD1388-E367-4482-876E-01E073E77A59}"/>
    <cellStyle name="Comma 4 2 4 4 2 3" xfId="11809" xr:uid="{AE64B839-199D-4A76-AEBA-FF520A70FD8C}"/>
    <cellStyle name="Comma 4 2 4 4 3" xfId="5440" xr:uid="{00000000-0005-0000-0000-0000D4080000}"/>
    <cellStyle name="Comma 4 2 4 4 3 2" xfId="13882" xr:uid="{21BD368B-33F5-4822-AFCE-D91D19911CCB}"/>
    <cellStyle name="Comma 4 2 4 4 4" xfId="9664" xr:uid="{947E1C58-A0A2-4345-A4AD-722310BBD0CD}"/>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11890EFD-AFA2-4FB4-874F-BCD0B14AC671}"/>
    <cellStyle name="Comma 4 2 4 5 2 3" xfId="12222" xr:uid="{9F172A02-E72B-4148-B370-44E2A26EC039}"/>
    <cellStyle name="Comma 4 2 4 5 3" xfId="5853" xr:uid="{00000000-0005-0000-0000-0000D8080000}"/>
    <cellStyle name="Comma 4 2 4 5 3 2" xfId="14295" xr:uid="{6E5B21CA-375E-40A3-8401-B7C416CAF643}"/>
    <cellStyle name="Comma 4 2 4 5 4" xfId="10077" xr:uid="{7A79D20E-B59D-4BDB-82D3-56AF06813E43}"/>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0D732456-5B85-4F3E-BDB2-0EC2C3D669F1}"/>
    <cellStyle name="Comma 4 2 4 6 2 3" xfId="12635" xr:uid="{5C1CD109-1D05-476D-998A-A7D77962287B}"/>
    <cellStyle name="Comma 4 2 4 6 3" xfId="6266" xr:uid="{00000000-0005-0000-0000-0000DC080000}"/>
    <cellStyle name="Comma 4 2 4 6 3 2" xfId="14708" xr:uid="{9D3E97AA-2D05-4C2C-BAC5-65715E9F5E63}"/>
    <cellStyle name="Comma 4 2 4 6 4" xfId="10490" xr:uid="{A2EB7A6E-5619-4EA5-86D4-9DA5CE7BB472}"/>
    <cellStyle name="Comma 4 2 4 7" xfId="2394" xr:uid="{00000000-0005-0000-0000-0000DD080000}"/>
    <cellStyle name="Comma 4 2 4 7 2" xfId="6679" xr:uid="{00000000-0005-0000-0000-0000DE080000}"/>
    <cellStyle name="Comma 4 2 4 7 2 2" xfId="15121" xr:uid="{40AA3C4B-6CBD-4CFA-9205-6CA6A14D387F}"/>
    <cellStyle name="Comma 4 2 4 7 3" xfId="10903" xr:uid="{C992B19D-806A-41FF-93B5-40C5EA4EA711}"/>
    <cellStyle name="Comma 4 2 4 8" xfId="2369" xr:uid="{00000000-0005-0000-0000-0000DF080000}"/>
    <cellStyle name="Comma 4 2 4 9" xfId="2772" xr:uid="{00000000-0005-0000-0000-0000E0080000}"/>
    <cellStyle name="Comma 4 2 4 9 2" xfId="6996" xr:uid="{00000000-0005-0000-0000-0000E1080000}"/>
    <cellStyle name="Comma 4 2 4 9 2 2" xfId="15438" xr:uid="{31C458E0-834D-4F98-BC7F-DB04C94B2FB7}"/>
    <cellStyle name="Comma 4 2 4 9 3" xfId="11220" xr:uid="{65916587-E414-488C-8AF8-43803407D6D5}"/>
    <cellStyle name="Comma 4 2 5" xfId="142" xr:uid="{00000000-0005-0000-0000-0000E2080000}"/>
    <cellStyle name="Comma 4 2 5 10" xfId="8839" xr:uid="{D1EE1D8A-444D-4434-89D0-81520B1C53C8}"/>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60141E4B-E79A-4F2C-964A-358455DB3A1B}"/>
    <cellStyle name="Comma 4 2 5 2 2 3" xfId="11398" xr:uid="{5C93C476-A473-4ED9-BCA4-8480CB297B77}"/>
    <cellStyle name="Comma 4 2 5 2 3" xfId="5029" xr:uid="{00000000-0005-0000-0000-0000E6080000}"/>
    <cellStyle name="Comma 4 2 5 2 3 2" xfId="13471" xr:uid="{0AFA5CC2-5029-4661-8101-CD255E87446C}"/>
    <cellStyle name="Comma 4 2 5 2 4" xfId="9253" xr:uid="{4FA8BAFE-428E-4767-92A1-A3C26C3F8739}"/>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92667801-B908-4382-A689-25BA712DB892}"/>
    <cellStyle name="Comma 4 2 5 3 2 3" xfId="11811" xr:uid="{A18F56E3-401C-4D0C-AA8A-02FD21DBF03A}"/>
    <cellStyle name="Comma 4 2 5 3 3" xfId="5442" xr:uid="{00000000-0005-0000-0000-0000EA080000}"/>
    <cellStyle name="Comma 4 2 5 3 3 2" xfId="13884" xr:uid="{5BE0CF06-72E4-4993-A3F3-A0879FD09ABA}"/>
    <cellStyle name="Comma 4 2 5 3 4" xfId="9666" xr:uid="{1D90A6D7-F837-40F2-8BC1-0B997DD4C27D}"/>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3AC9F000-0EB5-4DCF-BF4A-DBD1F03F49E1}"/>
    <cellStyle name="Comma 4 2 5 4 2 3" xfId="12224" xr:uid="{580234E9-0716-4E37-BA6F-3CE212BAB703}"/>
    <cellStyle name="Comma 4 2 5 4 3" xfId="5855" xr:uid="{00000000-0005-0000-0000-0000EE080000}"/>
    <cellStyle name="Comma 4 2 5 4 3 2" xfId="14297" xr:uid="{7C79E900-5162-4F90-BFAF-50940754D01B}"/>
    <cellStyle name="Comma 4 2 5 4 4" xfId="10079" xr:uid="{C7614DA2-6278-4B9C-94E8-ADD319369D7A}"/>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BB979E1C-E0D5-48A7-893D-C387B3693AC3}"/>
    <cellStyle name="Comma 4 2 5 5 2 3" xfId="12637" xr:uid="{107C8979-9CB1-484E-B4AC-709689DAFF80}"/>
    <cellStyle name="Comma 4 2 5 5 3" xfId="6268" xr:uid="{00000000-0005-0000-0000-0000F2080000}"/>
    <cellStyle name="Comma 4 2 5 5 3 2" xfId="14710" xr:uid="{0293EAA0-2EC6-472B-9179-BA93CF8427F8}"/>
    <cellStyle name="Comma 4 2 5 5 4" xfId="10492" xr:uid="{D173B92E-1EC0-4F0E-B0B1-ADBB2D06B37B}"/>
    <cellStyle name="Comma 4 2 5 6" xfId="2396" xr:uid="{00000000-0005-0000-0000-0000F3080000}"/>
    <cellStyle name="Comma 4 2 5 6 2" xfId="6681" xr:uid="{00000000-0005-0000-0000-0000F4080000}"/>
    <cellStyle name="Comma 4 2 5 6 2 2" xfId="15123" xr:uid="{2E50A6D1-DAE7-4CB3-93AB-4630E33BE00A}"/>
    <cellStyle name="Comma 4 2 5 6 3" xfId="10905" xr:uid="{FF67DCAC-6137-4CE7-ABE1-B795FF08418B}"/>
    <cellStyle name="Comma 4 2 5 7" xfId="2367" xr:uid="{00000000-0005-0000-0000-0000F5080000}"/>
    <cellStyle name="Comma 4 2 5 8" xfId="2774" xr:uid="{00000000-0005-0000-0000-0000F6080000}"/>
    <cellStyle name="Comma 4 2 5 8 2" xfId="6998" xr:uid="{00000000-0005-0000-0000-0000F7080000}"/>
    <cellStyle name="Comma 4 2 5 8 2 2" xfId="15440" xr:uid="{79470738-EDDB-45BA-A8AE-C5082CA6EDBF}"/>
    <cellStyle name="Comma 4 2 5 8 3" xfId="11222" xr:uid="{716CCE47-7657-42E1-ADDA-4D44F52CB91F}"/>
    <cellStyle name="Comma 4 2 5 9" xfId="4615" xr:uid="{00000000-0005-0000-0000-0000F8080000}"/>
    <cellStyle name="Comma 4 2 5 9 2" xfId="13057" xr:uid="{955AAB1D-D2E1-4BC1-987A-44CD51A53E4D}"/>
    <cellStyle name="Comma 4 2 6" xfId="143" xr:uid="{00000000-0005-0000-0000-0000F9080000}"/>
    <cellStyle name="Comma 4 2 6 10" xfId="8840" xr:uid="{83DAF923-B0F5-4C0F-824F-8CDE39F46539}"/>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CD4B1574-A392-4C4C-B6CE-61A824271C7B}"/>
    <cellStyle name="Comma 4 2 6 2 2 3" xfId="11399" xr:uid="{2EAC5F01-1553-4842-BA12-1A9A089C3B71}"/>
    <cellStyle name="Comma 4 2 6 2 3" xfId="5030" xr:uid="{00000000-0005-0000-0000-0000FD080000}"/>
    <cellStyle name="Comma 4 2 6 2 3 2" xfId="13472" xr:uid="{3EC1DD00-B415-46B2-B5D1-D14A3370C856}"/>
    <cellStyle name="Comma 4 2 6 2 4" xfId="9254" xr:uid="{21E74A1E-0F4C-4E97-95D8-E1309CA9623F}"/>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0629C7EF-9521-49CD-8204-CADA20B8BBEF}"/>
    <cellStyle name="Comma 4 2 6 3 2 3" xfId="11812" xr:uid="{73DFB208-8FA8-4718-9595-61B7924DC576}"/>
    <cellStyle name="Comma 4 2 6 3 3" xfId="5443" xr:uid="{00000000-0005-0000-0000-000001090000}"/>
    <cellStyle name="Comma 4 2 6 3 3 2" xfId="13885" xr:uid="{C4FE767B-1A5A-478C-96DC-9346EF64B3ED}"/>
    <cellStyle name="Comma 4 2 6 3 4" xfId="9667" xr:uid="{51126843-6ABF-4C62-8097-10CAB0330F7E}"/>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2A282335-D515-4F04-99E6-9A2ABECD3F16}"/>
    <cellStyle name="Comma 4 2 6 4 2 3" xfId="12225" xr:uid="{6CA2FE6D-254D-414A-B2A8-99DE89567121}"/>
    <cellStyle name="Comma 4 2 6 4 3" xfId="5856" xr:uid="{00000000-0005-0000-0000-000005090000}"/>
    <cellStyle name="Comma 4 2 6 4 3 2" xfId="14298" xr:uid="{2FBB076D-0CF1-48BD-9942-68014FBEF35C}"/>
    <cellStyle name="Comma 4 2 6 4 4" xfId="10080" xr:uid="{A99F3395-8C32-4D44-A9A4-8AEEC4226723}"/>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C6F83C3E-BF9D-40A4-8CE9-A99C72797B26}"/>
    <cellStyle name="Comma 4 2 6 5 2 3" xfId="12638" xr:uid="{AB3A8CC1-8A47-4B40-B370-815E69AD7802}"/>
    <cellStyle name="Comma 4 2 6 5 3" xfId="6269" xr:uid="{00000000-0005-0000-0000-000009090000}"/>
    <cellStyle name="Comma 4 2 6 5 3 2" xfId="14711" xr:uid="{6C4A42DF-F034-4789-8A97-7736793CE332}"/>
    <cellStyle name="Comma 4 2 6 5 4" xfId="10493" xr:uid="{4E82ABB5-9363-4EA4-BF9D-6A82D644B7F1}"/>
    <cellStyle name="Comma 4 2 6 6" xfId="2397" xr:uid="{00000000-0005-0000-0000-00000A090000}"/>
    <cellStyle name="Comma 4 2 6 6 2" xfId="6682" xr:uid="{00000000-0005-0000-0000-00000B090000}"/>
    <cellStyle name="Comma 4 2 6 6 2 2" xfId="15124" xr:uid="{450E24A2-44BE-4347-AE05-67C2C14EAD07}"/>
    <cellStyle name="Comma 4 2 6 6 3" xfId="10906" xr:uid="{F088DD71-7CC9-4C71-8FAB-72ECAE4A05C9}"/>
    <cellStyle name="Comma 4 2 6 7" xfId="2366" xr:uid="{00000000-0005-0000-0000-00000C090000}"/>
    <cellStyle name="Comma 4 2 6 8" xfId="2775" xr:uid="{00000000-0005-0000-0000-00000D090000}"/>
    <cellStyle name="Comma 4 2 6 8 2" xfId="6999" xr:uid="{00000000-0005-0000-0000-00000E090000}"/>
    <cellStyle name="Comma 4 2 6 8 2 2" xfId="15441" xr:uid="{8D589ECC-9900-4E46-8DCA-9DCA763F59F9}"/>
    <cellStyle name="Comma 4 2 6 8 3" xfId="11223" xr:uid="{979A584F-DF6B-4812-BBAE-A24F854E3AF3}"/>
    <cellStyle name="Comma 4 2 6 9" xfId="4616" xr:uid="{00000000-0005-0000-0000-00000F090000}"/>
    <cellStyle name="Comma 4 2 6 9 2" xfId="13058" xr:uid="{BE88332A-0206-41F6-8156-6D641CB12CA5}"/>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5D0EC6F6-1553-4D64-9DBC-259CBDA544F6}"/>
    <cellStyle name="Comma 4 3 2 10 3" xfId="11224" xr:uid="{D2C58179-3778-4F2D-BF57-125C5C401B7B}"/>
    <cellStyle name="Comma 4 3 2 11" xfId="4617" xr:uid="{00000000-0005-0000-0000-000014090000}"/>
    <cellStyle name="Comma 4 3 2 11 2" xfId="13059" xr:uid="{9E3CC4C3-34A8-4763-8C7F-D2F95B6561D5}"/>
    <cellStyle name="Comma 4 3 2 12" xfId="8841" xr:uid="{7D3A8A38-0032-41E6-9718-D8CA2AA4B0CC}"/>
    <cellStyle name="Comma 4 3 2 2" xfId="146" xr:uid="{00000000-0005-0000-0000-000015090000}"/>
    <cellStyle name="Comma 4 3 2 2 10" xfId="4618" xr:uid="{00000000-0005-0000-0000-000016090000}"/>
    <cellStyle name="Comma 4 3 2 2 10 2" xfId="13060" xr:uid="{3089EBD0-976B-4C40-8EE9-8CCE363ACD9F}"/>
    <cellStyle name="Comma 4 3 2 2 11" xfId="8842" xr:uid="{FAEEB0A0-001A-4519-8578-A96A45FCBAFE}"/>
    <cellStyle name="Comma 4 3 2 2 2" xfId="147" xr:uid="{00000000-0005-0000-0000-000017090000}"/>
    <cellStyle name="Comma 4 3 2 2 2 10" xfId="8843" xr:uid="{3D70128B-6FF8-473E-9600-B090A64D427D}"/>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67A50ECC-9307-4A36-BC42-F6A7B044DE57}"/>
    <cellStyle name="Comma 4 3 2 2 2 2 2 3" xfId="11402" xr:uid="{B0B9FC3E-AEB5-4467-9233-033D6770D958}"/>
    <cellStyle name="Comma 4 3 2 2 2 2 3" xfId="5033" xr:uid="{00000000-0005-0000-0000-00001B090000}"/>
    <cellStyle name="Comma 4 3 2 2 2 2 3 2" xfId="13475" xr:uid="{DF2ED4DA-4D05-4331-AEF5-D70219946371}"/>
    <cellStyle name="Comma 4 3 2 2 2 2 4" xfId="9257" xr:uid="{2E6491FE-3FBF-42EE-A8BD-44972799DB15}"/>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97FE49D3-A1BE-4FF7-825A-52BE34DB6A7F}"/>
    <cellStyle name="Comma 4 3 2 2 2 3 2 3" xfId="11815" xr:uid="{825EE77A-1D88-4B51-B68C-5E908E1FC927}"/>
    <cellStyle name="Comma 4 3 2 2 2 3 3" xfId="5446" xr:uid="{00000000-0005-0000-0000-00001F090000}"/>
    <cellStyle name="Comma 4 3 2 2 2 3 3 2" xfId="13888" xr:uid="{40C8B9BE-8F65-415F-990A-61DA0466F6FB}"/>
    <cellStyle name="Comma 4 3 2 2 2 3 4" xfId="9670" xr:uid="{37146736-B148-4CEE-9725-0F6CEB40BF5C}"/>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D9AEAA77-0109-49A1-BE39-937BCCF87CB2}"/>
    <cellStyle name="Comma 4 3 2 2 2 4 2 3" xfId="12228" xr:uid="{8DB51E01-7C18-4BEC-90B7-790C47F35492}"/>
    <cellStyle name="Comma 4 3 2 2 2 4 3" xfId="5859" xr:uid="{00000000-0005-0000-0000-000023090000}"/>
    <cellStyle name="Comma 4 3 2 2 2 4 3 2" xfId="14301" xr:uid="{1D64C0D4-C4DF-4159-A8D1-6832AE441068}"/>
    <cellStyle name="Comma 4 3 2 2 2 4 4" xfId="10083" xr:uid="{59A62F9A-D71C-4FD8-964A-E21862F352D5}"/>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A5ABA959-D862-4D2B-9956-EBC3AE4AB8EE}"/>
    <cellStyle name="Comma 4 3 2 2 2 5 2 3" xfId="12641" xr:uid="{5E7DE2AE-C0CB-4E7C-B7DF-BBA7D30F3368}"/>
    <cellStyle name="Comma 4 3 2 2 2 5 3" xfId="6272" xr:uid="{00000000-0005-0000-0000-000027090000}"/>
    <cellStyle name="Comma 4 3 2 2 2 5 3 2" xfId="14714" xr:uid="{2662E3CE-3469-49BE-9E15-1066E3DAF74B}"/>
    <cellStyle name="Comma 4 3 2 2 2 5 4" xfId="10496" xr:uid="{99461915-5DE2-44B3-BD9A-4DB7F8BF8952}"/>
    <cellStyle name="Comma 4 3 2 2 2 6" xfId="2400" xr:uid="{00000000-0005-0000-0000-000028090000}"/>
    <cellStyle name="Comma 4 3 2 2 2 6 2" xfId="6685" xr:uid="{00000000-0005-0000-0000-000029090000}"/>
    <cellStyle name="Comma 4 3 2 2 2 6 2 2" xfId="15127" xr:uid="{151ABCC6-367E-49BB-BB34-4829910B834A}"/>
    <cellStyle name="Comma 4 3 2 2 2 6 3" xfId="10909" xr:uid="{CB03C118-192A-4F32-A69E-AEAE1099D18F}"/>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FA279EE7-B1CA-4E7E-8809-E7292CC24321}"/>
    <cellStyle name="Comma 4 3 2 2 2 8 3" xfId="11226" xr:uid="{6CDBD1ED-7357-4A59-A86F-B2276DE6E1A4}"/>
    <cellStyle name="Comma 4 3 2 2 2 9" xfId="4619" xr:uid="{00000000-0005-0000-0000-00002D090000}"/>
    <cellStyle name="Comma 4 3 2 2 2 9 2" xfId="13061" xr:uid="{F2721041-09AE-435D-B14A-00BE0F6A6103}"/>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08268C7B-F799-4C66-98E5-19569D835A88}"/>
    <cellStyle name="Comma 4 3 2 2 3 2 3" xfId="11401" xr:uid="{40CEBCD9-7855-403F-90B5-9B33C71531D6}"/>
    <cellStyle name="Comma 4 3 2 2 3 3" xfId="5032" xr:uid="{00000000-0005-0000-0000-000031090000}"/>
    <cellStyle name="Comma 4 3 2 2 3 3 2" xfId="13474" xr:uid="{93DA66E8-6586-48CC-B03B-7A2044E05255}"/>
    <cellStyle name="Comma 4 3 2 2 3 4" xfId="9256" xr:uid="{56CFFA26-15A3-4461-BA77-A1C471E6EE75}"/>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48FE852E-9A91-4C4E-B7D9-280462F18A42}"/>
    <cellStyle name="Comma 4 3 2 2 4 2 3" xfId="11814" xr:uid="{6C8EBDB0-AEC6-4B8E-AEF3-B4EC18406629}"/>
    <cellStyle name="Comma 4 3 2 2 4 3" xfId="5445" xr:uid="{00000000-0005-0000-0000-000035090000}"/>
    <cellStyle name="Comma 4 3 2 2 4 3 2" xfId="13887" xr:uid="{B48706A7-5D01-4AF0-B27E-AC4821E428F5}"/>
    <cellStyle name="Comma 4 3 2 2 4 4" xfId="9669" xr:uid="{64098890-1A55-473D-B16A-EBC316C194DE}"/>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65B3E06A-2485-4CCA-9EC5-1F7BEC259C3A}"/>
    <cellStyle name="Comma 4 3 2 2 5 2 3" xfId="12227" xr:uid="{69B8704A-62A5-4558-B291-EEC969D76B68}"/>
    <cellStyle name="Comma 4 3 2 2 5 3" xfId="5858" xr:uid="{00000000-0005-0000-0000-000039090000}"/>
    <cellStyle name="Comma 4 3 2 2 5 3 2" xfId="14300" xr:uid="{D71E09F2-62EF-4D65-94AE-C74D622C699A}"/>
    <cellStyle name="Comma 4 3 2 2 5 4" xfId="10082" xr:uid="{87DD1E34-D57D-47F9-8700-06BAA6792907}"/>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58C24FAD-422D-4C71-80C9-C81AFBDD44FA}"/>
    <cellStyle name="Comma 4 3 2 2 6 2 3" xfId="12640" xr:uid="{4F474218-7218-490D-ADB3-2CB9C199C8C5}"/>
    <cellStyle name="Comma 4 3 2 2 6 3" xfId="6271" xr:uid="{00000000-0005-0000-0000-00003D090000}"/>
    <cellStyle name="Comma 4 3 2 2 6 3 2" xfId="14713" xr:uid="{85217173-2C37-4F81-ACF8-39003BCEE175}"/>
    <cellStyle name="Comma 4 3 2 2 6 4" xfId="10495" xr:uid="{0EE0FDAF-2425-4361-89F5-FD9C52A0BCD9}"/>
    <cellStyle name="Comma 4 3 2 2 7" xfId="2399" xr:uid="{00000000-0005-0000-0000-00003E090000}"/>
    <cellStyle name="Comma 4 3 2 2 7 2" xfId="6684" xr:uid="{00000000-0005-0000-0000-00003F090000}"/>
    <cellStyle name="Comma 4 3 2 2 7 2 2" xfId="15126" xr:uid="{9D644396-846F-4739-A3E0-FAA975EEE12E}"/>
    <cellStyle name="Comma 4 3 2 2 7 3" xfId="10908" xr:uid="{51BC0E4D-9C51-4F8C-84E5-D6A361157C48}"/>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4872595F-8D8A-4C01-8FE4-3FEC5AFF8F47}"/>
    <cellStyle name="Comma 4 3 2 2 9 3" xfId="11225" xr:uid="{6661EA6E-5143-45FF-BB63-37A5CC48C1B7}"/>
    <cellStyle name="Comma 4 3 2 3" xfId="148" xr:uid="{00000000-0005-0000-0000-000043090000}"/>
    <cellStyle name="Comma 4 3 2 3 10" xfId="8844" xr:uid="{0F5B64C0-80B8-480F-9A61-3E36963027B7}"/>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5C72A955-C148-4F95-9931-B914B3D8B236}"/>
    <cellStyle name="Comma 4 3 2 3 2 2 3" xfId="11403" xr:uid="{BB657263-77D7-4E45-877B-2478885A682E}"/>
    <cellStyle name="Comma 4 3 2 3 2 3" xfId="5034" xr:uid="{00000000-0005-0000-0000-000047090000}"/>
    <cellStyle name="Comma 4 3 2 3 2 3 2" xfId="13476" xr:uid="{CE48E62C-3363-4347-92A5-66090933F6A7}"/>
    <cellStyle name="Comma 4 3 2 3 2 4" xfId="9258" xr:uid="{EE897351-C6C7-4453-A4D4-1FFA0D3390DA}"/>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77019F24-F99B-49E4-9097-B4258C8977A7}"/>
    <cellStyle name="Comma 4 3 2 3 3 2 3" xfId="11816" xr:uid="{40E6C2BD-4C19-457C-B400-A12B2BAB3717}"/>
    <cellStyle name="Comma 4 3 2 3 3 3" xfId="5447" xr:uid="{00000000-0005-0000-0000-00004B090000}"/>
    <cellStyle name="Comma 4 3 2 3 3 3 2" xfId="13889" xr:uid="{DA8E4087-4845-4528-B2EE-CB74137C5E19}"/>
    <cellStyle name="Comma 4 3 2 3 3 4" xfId="9671" xr:uid="{87DC4C96-1F62-43F4-B049-F62DBCD4B41E}"/>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4F607FDC-A986-4DBD-81AC-30A87D083187}"/>
    <cellStyle name="Comma 4 3 2 3 4 2 3" xfId="12229" xr:uid="{24C2A56C-6973-4498-9C13-7B70F0BE81FC}"/>
    <cellStyle name="Comma 4 3 2 3 4 3" xfId="5860" xr:uid="{00000000-0005-0000-0000-00004F090000}"/>
    <cellStyle name="Comma 4 3 2 3 4 3 2" xfId="14302" xr:uid="{7AAAFE8F-038A-4997-879E-24737C7AE04A}"/>
    <cellStyle name="Comma 4 3 2 3 4 4" xfId="10084" xr:uid="{DDDBD9D3-3C0C-4314-AC5B-E19CF8F95FAB}"/>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940D5714-A314-4646-8C7F-7B35209DA997}"/>
    <cellStyle name="Comma 4 3 2 3 5 2 3" xfId="12642" xr:uid="{D66A51E7-0462-429D-9AD7-86CE5D22D501}"/>
    <cellStyle name="Comma 4 3 2 3 5 3" xfId="6273" xr:uid="{00000000-0005-0000-0000-000053090000}"/>
    <cellStyle name="Comma 4 3 2 3 5 3 2" xfId="14715" xr:uid="{C5C08B44-0484-4C6C-864B-87436DC4C27F}"/>
    <cellStyle name="Comma 4 3 2 3 5 4" xfId="10497" xr:uid="{FB9BB050-5B50-40D0-B1F9-3C92AB0B5057}"/>
    <cellStyle name="Comma 4 3 2 3 6" xfId="2401" xr:uid="{00000000-0005-0000-0000-000054090000}"/>
    <cellStyle name="Comma 4 3 2 3 6 2" xfId="6686" xr:uid="{00000000-0005-0000-0000-000055090000}"/>
    <cellStyle name="Comma 4 3 2 3 6 2 2" xfId="15128" xr:uid="{62B2BB58-A0E3-4955-BB08-2786BB9EBA83}"/>
    <cellStyle name="Comma 4 3 2 3 6 3" xfId="10910" xr:uid="{D64C26A6-048D-41E2-BD67-A9EFB6A814F7}"/>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A0B2DFE4-C17F-481F-9510-00E38CC6A340}"/>
    <cellStyle name="Comma 4 3 2 3 8 3" xfId="11227" xr:uid="{5C09EC0D-919E-4655-9A57-DA552B5BF0B5}"/>
    <cellStyle name="Comma 4 3 2 3 9" xfId="4620" xr:uid="{00000000-0005-0000-0000-000059090000}"/>
    <cellStyle name="Comma 4 3 2 3 9 2" xfId="13062" xr:uid="{B72AD64B-802F-4E2E-8F03-86A49982F136}"/>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92991887-13F1-4955-BF0C-4842A88B7A5C}"/>
    <cellStyle name="Comma 4 3 2 4 2 3" xfId="11400" xr:uid="{B35B3187-436D-4AA6-BA81-DE5192D23E7E}"/>
    <cellStyle name="Comma 4 3 2 4 3" xfId="5031" xr:uid="{00000000-0005-0000-0000-00005D090000}"/>
    <cellStyle name="Comma 4 3 2 4 3 2" xfId="13473" xr:uid="{F05B3108-5924-4EC3-B306-1EADD856D877}"/>
    <cellStyle name="Comma 4 3 2 4 4" xfId="9255" xr:uid="{F289567F-3418-4D28-94D6-7ED305049B47}"/>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FBE280FF-68A9-4CD3-B919-2B59CA173BF9}"/>
    <cellStyle name="Comma 4 3 2 5 2 3" xfId="11813" xr:uid="{E4348E5B-495B-424B-A8A1-E439A7CB53EE}"/>
    <cellStyle name="Comma 4 3 2 5 3" xfId="5444" xr:uid="{00000000-0005-0000-0000-000061090000}"/>
    <cellStyle name="Comma 4 3 2 5 3 2" xfId="13886" xr:uid="{246B6FAC-6EC9-414A-9FCC-0AE282225680}"/>
    <cellStyle name="Comma 4 3 2 5 4" xfId="9668" xr:uid="{69AD774B-63A9-44D9-871E-10AA1D4BD281}"/>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26CDEE84-6A0A-4FB8-A788-32314BD40CD9}"/>
    <cellStyle name="Comma 4 3 2 6 2 3" xfId="12226" xr:uid="{45FB172E-9654-4102-AF0F-906F336A1CE5}"/>
    <cellStyle name="Comma 4 3 2 6 3" xfId="5857" xr:uid="{00000000-0005-0000-0000-000065090000}"/>
    <cellStyle name="Comma 4 3 2 6 3 2" xfId="14299" xr:uid="{9A97C4B4-7063-4BF5-A77D-CF66153B4157}"/>
    <cellStyle name="Comma 4 3 2 6 4" xfId="10081" xr:uid="{1BA17E0E-1D2C-489B-A136-2A9F1B4D6C15}"/>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F7B5A301-33B1-4839-B3D8-311813E396CB}"/>
    <cellStyle name="Comma 4 3 2 7 2 3" xfId="12639" xr:uid="{1C77AFB7-0168-47E9-A0E2-FFBCAFA8FD4F}"/>
    <cellStyle name="Comma 4 3 2 7 3" xfId="6270" xr:uid="{00000000-0005-0000-0000-000069090000}"/>
    <cellStyle name="Comma 4 3 2 7 3 2" xfId="14712" xr:uid="{69FA98A7-AD7B-4EC8-AAB2-0E53D45C731B}"/>
    <cellStyle name="Comma 4 3 2 7 4" xfId="10494" xr:uid="{8CA8F343-E9B4-4EC2-83AC-4924B511709F}"/>
    <cellStyle name="Comma 4 3 2 8" xfId="2398" xr:uid="{00000000-0005-0000-0000-00006A090000}"/>
    <cellStyle name="Comma 4 3 2 8 2" xfId="6683" xr:uid="{00000000-0005-0000-0000-00006B090000}"/>
    <cellStyle name="Comma 4 3 2 8 2 2" xfId="15125" xr:uid="{5116E86D-F3BB-452B-AA2E-4D61DF3047C8}"/>
    <cellStyle name="Comma 4 3 2 8 3" xfId="10907" xr:uid="{51ED66AF-E9A8-4DA4-BD92-E89C17B505B0}"/>
    <cellStyle name="Comma 4 3 2 9" xfId="2365" xr:uid="{00000000-0005-0000-0000-00006C090000}"/>
    <cellStyle name="Comma 4 3 3" xfId="149" xr:uid="{00000000-0005-0000-0000-00006D090000}"/>
    <cellStyle name="Comma 4 3 3 10" xfId="4621" xr:uid="{00000000-0005-0000-0000-00006E090000}"/>
    <cellStyle name="Comma 4 3 3 10 2" xfId="13063" xr:uid="{662C263B-4E97-4BDD-8A53-C871F1BD919F}"/>
    <cellStyle name="Comma 4 3 3 11" xfId="8845" xr:uid="{CF8F528C-D9AD-44AB-A53C-9ECB7DADF44B}"/>
    <cellStyle name="Comma 4 3 3 2" xfId="150" xr:uid="{00000000-0005-0000-0000-00006F090000}"/>
    <cellStyle name="Comma 4 3 3 2 10" xfId="8846" xr:uid="{A23F4D48-E399-44E2-9469-6635F1F72EB4}"/>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B85F3F00-7F21-489D-AB6A-565F0A436817}"/>
    <cellStyle name="Comma 4 3 3 2 2 2 3" xfId="11405" xr:uid="{7ACCD5D5-7BEF-415C-A2F5-19318741484D}"/>
    <cellStyle name="Comma 4 3 3 2 2 3" xfId="5036" xr:uid="{00000000-0005-0000-0000-000073090000}"/>
    <cellStyle name="Comma 4 3 3 2 2 3 2" xfId="13478" xr:uid="{0B784235-445A-43BA-94C9-842B54765FFF}"/>
    <cellStyle name="Comma 4 3 3 2 2 4" xfId="9260" xr:uid="{5D200907-A5D8-4338-B1DD-F3D89FF86A12}"/>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46B50082-EDAA-4617-BD41-3675941AFED3}"/>
    <cellStyle name="Comma 4 3 3 2 3 2 3" xfId="11818" xr:uid="{F688D807-7958-4B64-A589-D8BF90973FED}"/>
    <cellStyle name="Comma 4 3 3 2 3 3" xfId="5449" xr:uid="{00000000-0005-0000-0000-000077090000}"/>
    <cellStyle name="Comma 4 3 3 2 3 3 2" xfId="13891" xr:uid="{B1BB4B08-68DC-447C-B268-DD16FDF4EEED}"/>
    <cellStyle name="Comma 4 3 3 2 3 4" xfId="9673" xr:uid="{E07C7CFB-19E0-4C26-96B5-DE5694000F2C}"/>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80D4EFA4-1EE6-454B-A35E-F9B18D90910B}"/>
    <cellStyle name="Comma 4 3 3 2 4 2 3" xfId="12231" xr:uid="{962FC742-F772-4565-A406-8644F32130F5}"/>
    <cellStyle name="Comma 4 3 3 2 4 3" xfId="5862" xr:uid="{00000000-0005-0000-0000-00007B090000}"/>
    <cellStyle name="Comma 4 3 3 2 4 3 2" xfId="14304" xr:uid="{3167506B-886C-4085-918C-9F079094DAA1}"/>
    <cellStyle name="Comma 4 3 3 2 4 4" xfId="10086" xr:uid="{5AA678BD-C488-49B6-9020-866AC03DE1FA}"/>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3B49174D-3FD6-4379-B20B-BE310391217E}"/>
    <cellStyle name="Comma 4 3 3 2 5 2 3" xfId="12644" xr:uid="{79667025-E9FA-4654-AA52-2CDB7D9A7BB2}"/>
    <cellStyle name="Comma 4 3 3 2 5 3" xfId="6275" xr:uid="{00000000-0005-0000-0000-00007F090000}"/>
    <cellStyle name="Comma 4 3 3 2 5 3 2" xfId="14717" xr:uid="{BCBF4501-DCB7-4DF9-8C48-CB9C5B572DA0}"/>
    <cellStyle name="Comma 4 3 3 2 5 4" xfId="10499" xr:uid="{67B3CB0D-CE95-488B-87ED-510F078E857A}"/>
    <cellStyle name="Comma 4 3 3 2 6" xfId="2403" xr:uid="{00000000-0005-0000-0000-000080090000}"/>
    <cellStyle name="Comma 4 3 3 2 6 2" xfId="6688" xr:uid="{00000000-0005-0000-0000-000081090000}"/>
    <cellStyle name="Comma 4 3 3 2 6 2 2" xfId="15130" xr:uid="{D07D432B-C01D-4496-8E7C-9C89E5B19C8C}"/>
    <cellStyle name="Comma 4 3 3 2 6 3" xfId="10912" xr:uid="{755496B4-095B-4465-95F8-48B0A762A35F}"/>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CAE1871C-39DB-4676-84CE-151DADFFB10D}"/>
    <cellStyle name="Comma 4 3 3 2 8 3" xfId="11229" xr:uid="{CE9B3F27-95AA-408C-B298-DF87009C3909}"/>
    <cellStyle name="Comma 4 3 3 2 9" xfId="4622" xr:uid="{00000000-0005-0000-0000-000085090000}"/>
    <cellStyle name="Comma 4 3 3 2 9 2" xfId="13064" xr:uid="{EDDAF066-EA0F-44A9-A7CC-6E375092A873}"/>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27354737-5160-4142-AD95-94E4E1E99549}"/>
    <cellStyle name="Comma 4 3 3 3 2 3" xfId="11404" xr:uid="{4922EEE2-D8E9-43C5-98F0-344779F6695B}"/>
    <cellStyle name="Comma 4 3 3 3 3" xfId="5035" xr:uid="{00000000-0005-0000-0000-000089090000}"/>
    <cellStyle name="Comma 4 3 3 3 3 2" xfId="13477" xr:uid="{221E723C-93AB-48B0-B803-DC18D62FDDA4}"/>
    <cellStyle name="Comma 4 3 3 3 4" xfId="9259" xr:uid="{C571E811-DEF7-47B9-9DE5-5813FC3120CA}"/>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ADE407F3-B551-4E4C-865F-C8A5EB412319}"/>
    <cellStyle name="Comma 4 3 3 4 2 3" xfId="11817" xr:uid="{6CEA786A-147D-4075-B360-326591A676EF}"/>
    <cellStyle name="Comma 4 3 3 4 3" xfId="5448" xr:uid="{00000000-0005-0000-0000-00008D090000}"/>
    <cellStyle name="Comma 4 3 3 4 3 2" xfId="13890" xr:uid="{56A43DF8-57BC-4754-BE27-CDB852DB347F}"/>
    <cellStyle name="Comma 4 3 3 4 4" xfId="9672" xr:uid="{3A44638B-C38A-4080-9124-901D20A36D3A}"/>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084BD6DA-D5A9-4584-92F1-45A256DDE8DF}"/>
    <cellStyle name="Comma 4 3 3 5 2 3" xfId="12230" xr:uid="{88EB2E80-209F-465E-8F0E-A95D610E99B6}"/>
    <cellStyle name="Comma 4 3 3 5 3" xfId="5861" xr:uid="{00000000-0005-0000-0000-000091090000}"/>
    <cellStyle name="Comma 4 3 3 5 3 2" xfId="14303" xr:uid="{51FBEF9C-35C6-422B-AF2A-BD5FAFCA59C6}"/>
    <cellStyle name="Comma 4 3 3 5 4" xfId="10085" xr:uid="{D9DB0493-B54B-4D69-9F5D-570BD012ACF8}"/>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448572FF-2ECF-4788-BA59-287F43AEA211}"/>
    <cellStyle name="Comma 4 3 3 6 2 3" xfId="12643" xr:uid="{F94059FB-62ED-4A64-86D9-BC3D02ED53CE}"/>
    <cellStyle name="Comma 4 3 3 6 3" xfId="6274" xr:uid="{00000000-0005-0000-0000-000095090000}"/>
    <cellStyle name="Comma 4 3 3 6 3 2" xfId="14716" xr:uid="{0C01D3F6-9977-40CA-86A4-BF890FB1A5E4}"/>
    <cellStyle name="Comma 4 3 3 6 4" xfId="10498" xr:uid="{3911D2DB-6052-46EA-9A81-DF46FE6FFDC4}"/>
    <cellStyle name="Comma 4 3 3 7" xfId="2402" xr:uid="{00000000-0005-0000-0000-000096090000}"/>
    <cellStyle name="Comma 4 3 3 7 2" xfId="6687" xr:uid="{00000000-0005-0000-0000-000097090000}"/>
    <cellStyle name="Comma 4 3 3 7 2 2" xfId="15129" xr:uid="{3B75BF87-1706-4F45-953B-5091743A52B0}"/>
    <cellStyle name="Comma 4 3 3 7 3" xfId="10911" xr:uid="{D40D8355-724D-459C-8D0F-B37231F9D972}"/>
    <cellStyle name="Comma 4 3 3 8" xfId="2361" xr:uid="{00000000-0005-0000-0000-000098090000}"/>
    <cellStyle name="Comma 4 3 3 9" xfId="2780" xr:uid="{00000000-0005-0000-0000-000099090000}"/>
    <cellStyle name="Comma 4 3 3 9 2" xfId="7004" xr:uid="{00000000-0005-0000-0000-00009A090000}"/>
    <cellStyle name="Comma 4 3 3 9 2 2" xfId="15446" xr:uid="{96F0829B-D9FA-4EAA-85FF-9B138D391788}"/>
    <cellStyle name="Comma 4 3 3 9 3" xfId="11228" xr:uid="{221AA2F1-BFD2-4FB2-A3F1-335140D3125E}"/>
    <cellStyle name="Comma 4 3 4" xfId="151" xr:uid="{00000000-0005-0000-0000-00009B090000}"/>
    <cellStyle name="Comma 4 3 4 10" xfId="8847" xr:uid="{9E5D013E-CB8F-44CD-B96C-2C47EE456474}"/>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6FFC1F5D-6392-442D-9761-A97284F0934A}"/>
    <cellStyle name="Comma 4 3 4 2 2 3" xfId="11406" xr:uid="{82DE746A-1B02-4F44-96CC-2A98FEA198E3}"/>
    <cellStyle name="Comma 4 3 4 2 3" xfId="5037" xr:uid="{00000000-0005-0000-0000-00009F090000}"/>
    <cellStyle name="Comma 4 3 4 2 3 2" xfId="13479" xr:uid="{C21BD79D-B0FB-43FA-B3C9-CBE784226886}"/>
    <cellStyle name="Comma 4 3 4 2 4" xfId="9261" xr:uid="{B3C73AB7-47DD-4CE6-85DD-ED6F9F97E053}"/>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488DCFBA-8B5F-4624-83F0-29C6A122C2BA}"/>
    <cellStyle name="Comma 4 3 4 3 2 3" xfId="11819" xr:uid="{83CCD1FF-035B-48A9-85BF-6A5F83B68564}"/>
    <cellStyle name="Comma 4 3 4 3 3" xfId="5450" xr:uid="{00000000-0005-0000-0000-0000A3090000}"/>
    <cellStyle name="Comma 4 3 4 3 3 2" xfId="13892" xr:uid="{A28673D2-3DD1-4183-8D63-8F563477D4F6}"/>
    <cellStyle name="Comma 4 3 4 3 4" xfId="9674" xr:uid="{C3F6EBF4-4434-431F-9455-3335E1C26ECB}"/>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E1BF88A0-31B1-4319-BD69-B2F4699D2444}"/>
    <cellStyle name="Comma 4 3 4 4 2 3" xfId="12232" xr:uid="{53A3B28C-9F3E-4E02-A397-00E1D206E700}"/>
    <cellStyle name="Comma 4 3 4 4 3" xfId="5863" xr:uid="{00000000-0005-0000-0000-0000A7090000}"/>
    <cellStyle name="Comma 4 3 4 4 3 2" xfId="14305" xr:uid="{AEB78A1C-A0B2-4F6A-AD18-9225E6E9BF37}"/>
    <cellStyle name="Comma 4 3 4 4 4" xfId="10087" xr:uid="{0AC47C20-E3F2-4A03-888B-89A78F6F4DB5}"/>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83E0F510-6D7F-4E5D-93B7-A856C7676784}"/>
    <cellStyle name="Comma 4 3 4 5 2 3" xfId="12645" xr:uid="{181FBABE-5104-47E4-A511-1C22C1AD8A00}"/>
    <cellStyle name="Comma 4 3 4 5 3" xfId="6276" xr:uid="{00000000-0005-0000-0000-0000AB090000}"/>
    <cellStyle name="Comma 4 3 4 5 3 2" xfId="14718" xr:uid="{E9BC4D86-C2A2-4E00-8899-C95C646CBD1F}"/>
    <cellStyle name="Comma 4 3 4 5 4" xfId="10500" xr:uid="{1CC335A3-38BF-4955-8F8C-B3D392D9AF6D}"/>
    <cellStyle name="Comma 4 3 4 6" xfId="2404" xr:uid="{00000000-0005-0000-0000-0000AC090000}"/>
    <cellStyle name="Comma 4 3 4 6 2" xfId="6689" xr:uid="{00000000-0005-0000-0000-0000AD090000}"/>
    <cellStyle name="Comma 4 3 4 6 2 2" xfId="15131" xr:uid="{DF0BD46C-CCA9-433F-BEE8-2F70BDC3917F}"/>
    <cellStyle name="Comma 4 3 4 6 3" xfId="10913" xr:uid="{129E12DA-781D-4534-AA08-3817B37A58E7}"/>
    <cellStyle name="Comma 4 3 4 7" xfId="2700" xr:uid="{00000000-0005-0000-0000-0000AE090000}"/>
    <cellStyle name="Comma 4 3 4 8" xfId="2782" xr:uid="{00000000-0005-0000-0000-0000AF090000}"/>
    <cellStyle name="Comma 4 3 4 8 2" xfId="7006" xr:uid="{00000000-0005-0000-0000-0000B0090000}"/>
    <cellStyle name="Comma 4 3 4 8 2 2" xfId="15448" xr:uid="{1F5FDB42-F711-451C-B2FB-A4D286557D74}"/>
    <cellStyle name="Comma 4 3 4 8 3" xfId="11230" xr:uid="{09CE26FC-730E-4A8D-B2E6-2CDA2ECD18ED}"/>
    <cellStyle name="Comma 4 3 4 9" xfId="4623" xr:uid="{00000000-0005-0000-0000-0000B1090000}"/>
    <cellStyle name="Comma 4 3 4 9 2" xfId="13065" xr:uid="{FE03CADB-B440-4A7C-8B6D-90EE136721EE}"/>
    <cellStyle name="Comma 4 3 5" xfId="152" xr:uid="{00000000-0005-0000-0000-0000B2090000}"/>
    <cellStyle name="Comma 4 3 5 10" xfId="8848" xr:uid="{F37F99D4-2EAD-4928-9572-7B345262267B}"/>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8213E69C-5C8D-4DE1-88E2-D3E2A8F573BC}"/>
    <cellStyle name="Comma 4 3 5 2 2 3" xfId="11407" xr:uid="{288D610E-B9F2-40DD-9F07-7CECF1FDFBAF}"/>
    <cellStyle name="Comma 4 3 5 2 3" xfId="5038" xr:uid="{00000000-0005-0000-0000-0000B6090000}"/>
    <cellStyle name="Comma 4 3 5 2 3 2" xfId="13480" xr:uid="{1121DF2B-ED44-4E85-A738-A77C387B958D}"/>
    <cellStyle name="Comma 4 3 5 2 4" xfId="9262" xr:uid="{12BB212F-FFFB-4D3A-BA87-B0761C21CA34}"/>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BB181234-D329-4478-971C-45D94F85B2F8}"/>
    <cellStyle name="Comma 4 3 5 3 2 3" xfId="11820" xr:uid="{2D0A4D37-66EA-4BE8-9C43-0046E92FADAA}"/>
    <cellStyle name="Comma 4 3 5 3 3" xfId="5451" xr:uid="{00000000-0005-0000-0000-0000BA090000}"/>
    <cellStyle name="Comma 4 3 5 3 3 2" xfId="13893" xr:uid="{E4687C1A-35D0-4B6C-838E-9490A2CC5332}"/>
    <cellStyle name="Comma 4 3 5 3 4" xfId="9675" xr:uid="{F9016532-E10B-4845-BEB1-5624BEF2B39D}"/>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81B7D300-3BBD-4E28-B5DF-FF5BA3E99260}"/>
    <cellStyle name="Comma 4 3 5 4 2 3" xfId="12233" xr:uid="{D0B35B4C-E3E6-4220-9274-F318C793092B}"/>
    <cellStyle name="Comma 4 3 5 4 3" xfId="5864" xr:uid="{00000000-0005-0000-0000-0000BE090000}"/>
    <cellStyle name="Comma 4 3 5 4 3 2" xfId="14306" xr:uid="{818FA498-41E7-420F-9FCD-CA7159EA9B43}"/>
    <cellStyle name="Comma 4 3 5 4 4" xfId="10088" xr:uid="{9EF94D12-E866-4246-BB45-950B3CC4E7C3}"/>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4A29C8ED-3D2F-4816-B038-5CFEBC4F45D3}"/>
    <cellStyle name="Comma 4 3 5 5 2 3" xfId="12646" xr:uid="{C517469D-A090-4F34-BA8E-65613316261A}"/>
    <cellStyle name="Comma 4 3 5 5 3" xfId="6277" xr:uid="{00000000-0005-0000-0000-0000C2090000}"/>
    <cellStyle name="Comma 4 3 5 5 3 2" xfId="14719" xr:uid="{59944219-37BE-4B87-BD36-B77A171574C8}"/>
    <cellStyle name="Comma 4 3 5 5 4" xfId="10501" xr:uid="{EC422C7C-C37D-495B-997F-3F84FC836AB1}"/>
    <cellStyle name="Comma 4 3 5 6" xfId="2405" xr:uid="{00000000-0005-0000-0000-0000C3090000}"/>
    <cellStyle name="Comma 4 3 5 6 2" xfId="6690" xr:uid="{00000000-0005-0000-0000-0000C4090000}"/>
    <cellStyle name="Comma 4 3 5 6 2 2" xfId="15132" xr:uid="{EBFB7172-3CF1-4052-B0D1-52626C905FE7}"/>
    <cellStyle name="Comma 4 3 5 6 3" xfId="10914" xr:uid="{A6721FF2-9AC7-4943-9638-0AA17CF66FB2}"/>
    <cellStyle name="Comma 4 3 5 7" xfId="2701" xr:uid="{00000000-0005-0000-0000-0000C5090000}"/>
    <cellStyle name="Comma 4 3 5 8" xfId="2783" xr:uid="{00000000-0005-0000-0000-0000C6090000}"/>
    <cellStyle name="Comma 4 3 5 8 2" xfId="7007" xr:uid="{00000000-0005-0000-0000-0000C7090000}"/>
    <cellStyle name="Comma 4 3 5 8 2 2" xfId="15449" xr:uid="{C4F30227-BB3A-4AB8-8ADF-2D1A283E476B}"/>
    <cellStyle name="Comma 4 3 5 8 3" xfId="11231" xr:uid="{49FAAD72-7751-427C-B9E8-E3CDC958778F}"/>
    <cellStyle name="Comma 4 3 5 9" xfId="4624" xr:uid="{00000000-0005-0000-0000-0000C8090000}"/>
    <cellStyle name="Comma 4 3 5 9 2" xfId="13066" xr:uid="{7C53687B-7736-40D7-A83A-69C41377904B}"/>
    <cellStyle name="Comma 4 4" xfId="153" xr:uid="{00000000-0005-0000-0000-0000C9090000}"/>
    <cellStyle name="Comma 4 4 10" xfId="2784" xr:uid="{00000000-0005-0000-0000-0000CA090000}"/>
    <cellStyle name="Comma 4 4 10 2" xfId="7008" xr:uid="{00000000-0005-0000-0000-0000CB090000}"/>
    <cellStyle name="Comma 4 4 10 2 2" xfId="15450" xr:uid="{B9D4B14F-5F9F-41EE-A399-249A2BAC63C8}"/>
    <cellStyle name="Comma 4 4 10 3" xfId="11232" xr:uid="{B7AA6B43-BB3C-440C-8138-6D02F6D09A0C}"/>
    <cellStyle name="Comma 4 4 11" xfId="4625" xr:uid="{00000000-0005-0000-0000-0000CC090000}"/>
    <cellStyle name="Comma 4 4 11 2" xfId="13067" xr:uid="{CB3817CD-38AD-4BAA-AFEB-7A6435A2B752}"/>
    <cellStyle name="Comma 4 4 12" xfId="8849" xr:uid="{C3BFAE87-50FB-43B4-8DE3-538A06EA332C}"/>
    <cellStyle name="Comma 4 4 2" xfId="154" xr:uid="{00000000-0005-0000-0000-0000CD090000}"/>
    <cellStyle name="Comma 4 4 2 10" xfId="4626" xr:uid="{00000000-0005-0000-0000-0000CE090000}"/>
    <cellStyle name="Comma 4 4 2 10 2" xfId="13068" xr:uid="{A46E3454-06AF-464F-957B-593E6D3B68CB}"/>
    <cellStyle name="Comma 4 4 2 11" xfId="8850" xr:uid="{B1C1EB4D-6E2C-4BE5-9CA8-62B247B0890C}"/>
    <cellStyle name="Comma 4 4 2 2" xfId="155" xr:uid="{00000000-0005-0000-0000-0000CF090000}"/>
    <cellStyle name="Comma 4 4 2 2 10" xfId="8851" xr:uid="{2CF1C406-2BC1-486C-BD39-7D13D3E65570}"/>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1A94818E-F6C2-4748-BB64-F4709AA39C33}"/>
    <cellStyle name="Comma 4 4 2 2 2 2 3" xfId="11410" xr:uid="{2C87C110-AE9D-4827-AFDB-42D32A4B3AE6}"/>
    <cellStyle name="Comma 4 4 2 2 2 3" xfId="5041" xr:uid="{00000000-0005-0000-0000-0000D3090000}"/>
    <cellStyle name="Comma 4 4 2 2 2 3 2" xfId="13483" xr:uid="{74E6AA92-562C-4781-99DF-000CBE157290}"/>
    <cellStyle name="Comma 4 4 2 2 2 4" xfId="9265" xr:uid="{61B131A7-DA17-43D1-98E8-0D5D4D827EA5}"/>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242953D6-D852-4E9A-9944-0FECC819537F}"/>
    <cellStyle name="Comma 4 4 2 2 3 2 3" xfId="11823" xr:uid="{3FEDB1FE-2E0D-4E8F-A8BD-043EB1209390}"/>
    <cellStyle name="Comma 4 4 2 2 3 3" xfId="5454" xr:uid="{00000000-0005-0000-0000-0000D7090000}"/>
    <cellStyle name="Comma 4 4 2 2 3 3 2" xfId="13896" xr:uid="{2EB27EBF-ADFA-4B91-9A58-F8AED0EC49AF}"/>
    <cellStyle name="Comma 4 4 2 2 3 4" xfId="9678" xr:uid="{C85426AC-CCE3-4046-90FC-CB8C8F821207}"/>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3EA8924B-3490-46BD-8A43-2CEDF7D88497}"/>
    <cellStyle name="Comma 4 4 2 2 4 2 3" xfId="12236" xr:uid="{D1803102-2F58-46D1-8FBE-DDEBA883AC5D}"/>
    <cellStyle name="Comma 4 4 2 2 4 3" xfId="5867" xr:uid="{00000000-0005-0000-0000-0000DB090000}"/>
    <cellStyle name="Comma 4 4 2 2 4 3 2" xfId="14309" xr:uid="{2591C70A-343D-4EC4-85A0-822D08344192}"/>
    <cellStyle name="Comma 4 4 2 2 4 4" xfId="10091" xr:uid="{024AAFB0-80B6-4946-8802-7209B3133D95}"/>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E00B42B8-4878-49C2-8AAB-35B76AF4AE6D}"/>
    <cellStyle name="Comma 4 4 2 2 5 2 3" xfId="12649" xr:uid="{BB57898D-56BE-40E7-A3F5-BF25A1BAC117}"/>
    <cellStyle name="Comma 4 4 2 2 5 3" xfId="6280" xr:uid="{00000000-0005-0000-0000-0000DF090000}"/>
    <cellStyle name="Comma 4 4 2 2 5 3 2" xfId="14722" xr:uid="{1CC50AD1-C6F6-4CFE-BA36-03F4014B96A8}"/>
    <cellStyle name="Comma 4 4 2 2 5 4" xfId="10504" xr:uid="{22E4F52F-7CA4-4638-B0D2-3D00518163D7}"/>
    <cellStyle name="Comma 4 4 2 2 6" xfId="2408" xr:uid="{00000000-0005-0000-0000-0000E0090000}"/>
    <cellStyle name="Comma 4 4 2 2 6 2" xfId="6693" xr:uid="{00000000-0005-0000-0000-0000E1090000}"/>
    <cellStyle name="Comma 4 4 2 2 6 2 2" xfId="15135" xr:uid="{4C68C756-1DC7-4152-8728-312D2C92A7C8}"/>
    <cellStyle name="Comma 4 4 2 2 6 3" xfId="10917" xr:uid="{0118D255-3958-4A0C-93AC-5130D4E78E77}"/>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7DD05BD5-7091-40D6-9ED8-B02FD1DC5FAE}"/>
    <cellStyle name="Comma 4 4 2 2 8 3" xfId="11234" xr:uid="{C97EBBCD-C154-4BE9-93EE-149E7975CF50}"/>
    <cellStyle name="Comma 4 4 2 2 9" xfId="4627" xr:uid="{00000000-0005-0000-0000-0000E5090000}"/>
    <cellStyle name="Comma 4 4 2 2 9 2" xfId="13069" xr:uid="{C230BF53-1EAC-4B39-AF3A-6A95A477FDC4}"/>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B412DBB3-E8A7-4DB7-AF92-5FB4ED8CC9A3}"/>
    <cellStyle name="Comma 4 4 2 3 2 3" xfId="11409" xr:uid="{B9A67AB7-8F18-4550-8BCE-82E2611771E1}"/>
    <cellStyle name="Comma 4 4 2 3 3" xfId="5040" xr:uid="{00000000-0005-0000-0000-0000E9090000}"/>
    <cellStyle name="Comma 4 4 2 3 3 2" xfId="13482" xr:uid="{C20632D5-D825-4B5D-8EDB-C7E25583ECF2}"/>
    <cellStyle name="Comma 4 4 2 3 4" xfId="9264" xr:uid="{5A68548B-2301-4FDC-8297-54B5511E0F93}"/>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D5C45221-15EF-4BAD-8F0B-9C25EE6233E7}"/>
    <cellStyle name="Comma 4 4 2 4 2 3" xfId="11822" xr:uid="{173677F7-C9E5-47E3-A928-3B76164FED2D}"/>
    <cellStyle name="Comma 4 4 2 4 3" xfId="5453" xr:uid="{00000000-0005-0000-0000-0000ED090000}"/>
    <cellStyle name="Comma 4 4 2 4 3 2" xfId="13895" xr:uid="{8155B8BC-7ADD-4538-9C9F-92489D2A3A64}"/>
    <cellStyle name="Comma 4 4 2 4 4" xfId="9677" xr:uid="{853C2DFC-E494-4DFA-A5E5-08E4B3429BAD}"/>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43ECC1DB-7F69-41B7-AE93-966FFF02BBF8}"/>
    <cellStyle name="Comma 4 4 2 5 2 3" xfId="12235" xr:uid="{E615DDA4-76C3-4141-8DBC-C110B2263E2E}"/>
    <cellStyle name="Comma 4 4 2 5 3" xfId="5866" xr:uid="{00000000-0005-0000-0000-0000F1090000}"/>
    <cellStyle name="Comma 4 4 2 5 3 2" xfId="14308" xr:uid="{B88FEBD9-6FB6-4F15-AA74-9433C7406453}"/>
    <cellStyle name="Comma 4 4 2 5 4" xfId="10090" xr:uid="{9BF3EEA0-923D-4AF1-A3C0-7D5CAD57FF0C}"/>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BF9F57C1-1380-4A39-8E68-35666EF14A06}"/>
    <cellStyle name="Comma 4 4 2 6 2 3" xfId="12648" xr:uid="{6BC0B740-88C9-4831-9BDA-E5FE0D32BC64}"/>
    <cellStyle name="Comma 4 4 2 6 3" xfId="6279" xr:uid="{00000000-0005-0000-0000-0000F5090000}"/>
    <cellStyle name="Comma 4 4 2 6 3 2" xfId="14721" xr:uid="{D35BB0A3-3B7A-43DF-A4A2-05E75517A430}"/>
    <cellStyle name="Comma 4 4 2 6 4" xfId="10503" xr:uid="{0C51010B-B52E-4B40-9823-D3130EBD5B7C}"/>
    <cellStyle name="Comma 4 4 2 7" xfId="2407" xr:uid="{00000000-0005-0000-0000-0000F6090000}"/>
    <cellStyle name="Comma 4 4 2 7 2" xfId="6692" xr:uid="{00000000-0005-0000-0000-0000F7090000}"/>
    <cellStyle name="Comma 4 4 2 7 2 2" xfId="15134" xr:uid="{2F11F32E-35E5-419C-8FC6-AE8D4EA7EB87}"/>
    <cellStyle name="Comma 4 4 2 7 3" xfId="10916" xr:uid="{18689F5C-54A1-4BDF-8779-93E1C9397461}"/>
    <cellStyle name="Comma 4 4 2 8" xfId="2703" xr:uid="{00000000-0005-0000-0000-0000F8090000}"/>
    <cellStyle name="Comma 4 4 2 9" xfId="2785" xr:uid="{00000000-0005-0000-0000-0000F9090000}"/>
    <cellStyle name="Comma 4 4 2 9 2" xfId="7009" xr:uid="{00000000-0005-0000-0000-0000FA090000}"/>
    <cellStyle name="Comma 4 4 2 9 2 2" xfId="15451" xr:uid="{23F06A66-18DA-472E-A271-ADD916011E4C}"/>
    <cellStyle name="Comma 4 4 2 9 3" xfId="11233" xr:uid="{876F200D-E9BB-4FAF-831D-448BCD2DE62A}"/>
    <cellStyle name="Comma 4 4 3" xfId="156" xr:uid="{00000000-0005-0000-0000-0000FB090000}"/>
    <cellStyle name="Comma 4 4 3 10" xfId="8852" xr:uid="{38124891-B67C-42B3-B9E8-FD29BA2820D7}"/>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41E72631-5570-4815-995E-683F3F3E1713}"/>
    <cellStyle name="Comma 4 4 3 2 2 3" xfId="11411" xr:uid="{1AB9F381-3FB8-4EDB-8559-19A9B90E17C7}"/>
    <cellStyle name="Comma 4 4 3 2 3" xfId="5042" xr:uid="{00000000-0005-0000-0000-0000FF090000}"/>
    <cellStyle name="Comma 4 4 3 2 3 2" xfId="13484" xr:uid="{A1BA66C2-40D1-4C70-957B-284D433EFED3}"/>
    <cellStyle name="Comma 4 4 3 2 4" xfId="9266" xr:uid="{64494EB0-E664-47E6-A9DC-0475AAF411B2}"/>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52A79361-0198-4317-B1F5-0F82629F479A}"/>
    <cellStyle name="Comma 4 4 3 3 2 3" xfId="11824" xr:uid="{F753E91A-3870-4FDA-B4D0-F696B2702B36}"/>
    <cellStyle name="Comma 4 4 3 3 3" xfId="5455" xr:uid="{00000000-0005-0000-0000-0000030A0000}"/>
    <cellStyle name="Comma 4 4 3 3 3 2" xfId="13897" xr:uid="{1B01070C-9671-4909-8D3B-301B4B39564C}"/>
    <cellStyle name="Comma 4 4 3 3 4" xfId="9679" xr:uid="{DE715C7F-AB32-4CF5-8ABB-3C490F0D3F12}"/>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27251695-5082-4B7B-8DE0-5ABD9E8182F4}"/>
    <cellStyle name="Comma 4 4 3 4 2 3" xfId="12237" xr:uid="{29B46EB7-B336-4862-A4A1-153A3EF60481}"/>
    <cellStyle name="Comma 4 4 3 4 3" xfId="5868" xr:uid="{00000000-0005-0000-0000-0000070A0000}"/>
    <cellStyle name="Comma 4 4 3 4 3 2" xfId="14310" xr:uid="{7B7908D8-FDBC-4C6D-8E12-0453216AEB93}"/>
    <cellStyle name="Comma 4 4 3 4 4" xfId="10092" xr:uid="{34DFBF77-DA02-4BEB-81E5-31282FCF6D98}"/>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7998ED8F-FD29-4A7E-8DED-BB2F4269CCAB}"/>
    <cellStyle name="Comma 4 4 3 5 2 3" xfId="12650" xr:uid="{3C5061D0-4198-40D6-A8EA-4BE6A6A973E2}"/>
    <cellStyle name="Comma 4 4 3 5 3" xfId="6281" xr:uid="{00000000-0005-0000-0000-00000B0A0000}"/>
    <cellStyle name="Comma 4 4 3 5 3 2" xfId="14723" xr:uid="{C6EF81F1-1F17-46C7-89AA-FDCF1D237140}"/>
    <cellStyle name="Comma 4 4 3 5 4" xfId="10505" xr:uid="{D3F7DB11-A6C0-4D21-BD58-2C46BBC0DB5C}"/>
    <cellStyle name="Comma 4 4 3 6" xfId="2409" xr:uid="{00000000-0005-0000-0000-00000C0A0000}"/>
    <cellStyle name="Comma 4 4 3 6 2" xfId="6694" xr:uid="{00000000-0005-0000-0000-00000D0A0000}"/>
    <cellStyle name="Comma 4 4 3 6 2 2" xfId="15136" xr:uid="{9C8D45AB-7DC0-4FAE-9FD2-40D67E8CED01}"/>
    <cellStyle name="Comma 4 4 3 6 3" xfId="10918" xr:uid="{F06200CB-D3D7-46BA-AEA3-7C8E4B802713}"/>
    <cellStyle name="Comma 4 4 3 7" xfId="2705" xr:uid="{00000000-0005-0000-0000-00000E0A0000}"/>
    <cellStyle name="Comma 4 4 3 8" xfId="2787" xr:uid="{00000000-0005-0000-0000-00000F0A0000}"/>
    <cellStyle name="Comma 4 4 3 8 2" xfId="7011" xr:uid="{00000000-0005-0000-0000-0000100A0000}"/>
    <cellStyle name="Comma 4 4 3 8 2 2" xfId="15453" xr:uid="{94306C87-9C71-4EFE-B47B-7ACEE674ED91}"/>
    <cellStyle name="Comma 4 4 3 8 3" xfId="11235" xr:uid="{FDB74FC1-6702-4D39-8484-3F64A86EDFA5}"/>
    <cellStyle name="Comma 4 4 3 9" xfId="4628" xr:uid="{00000000-0005-0000-0000-0000110A0000}"/>
    <cellStyle name="Comma 4 4 3 9 2" xfId="13070" xr:uid="{6746DF0B-A8B2-4524-8F3C-D94AB4A342E3}"/>
    <cellStyle name="Comma 4 4 4" xfId="690" xr:uid="{00000000-0005-0000-0000-0000120A0000}"/>
    <cellStyle name="Comma 4 4 4 2" xfId="2961" xr:uid="{00000000-0005-0000-0000-0000130A0000}"/>
    <cellStyle name="Comma 4 4 4 2 2" xfId="7184" xr:uid="{00000000-0005-0000-0000-0000140A0000}"/>
    <cellStyle name="Comma 4 4 4 2 2 2" xfId="15626" xr:uid="{BD93CACF-EC41-40D8-93AC-A597960E9DDD}"/>
    <cellStyle name="Comma 4 4 4 2 3" xfId="11408" xr:uid="{FB17EB68-D5B1-474F-B104-19FA0C1A039E}"/>
    <cellStyle name="Comma 4 4 4 3" xfId="5039" xr:uid="{00000000-0005-0000-0000-0000150A0000}"/>
    <cellStyle name="Comma 4 4 4 3 2" xfId="13481" xr:uid="{1BB26AFC-0A46-4D9B-A985-FDDC2D4D9D61}"/>
    <cellStyle name="Comma 4 4 4 4" xfId="9263" xr:uid="{193C95BF-5967-4266-92BB-1D44C067DD11}"/>
    <cellStyle name="Comma 4 4 5" xfId="1143" xr:uid="{00000000-0005-0000-0000-0000160A0000}"/>
    <cellStyle name="Comma 4 4 5 2" xfId="3374" xr:uid="{00000000-0005-0000-0000-0000170A0000}"/>
    <cellStyle name="Comma 4 4 5 2 2" xfId="7597" xr:uid="{00000000-0005-0000-0000-0000180A0000}"/>
    <cellStyle name="Comma 4 4 5 2 2 2" xfId="16039" xr:uid="{E9E34FC5-5A8F-475C-95F0-3947967FF7D7}"/>
    <cellStyle name="Comma 4 4 5 2 3" xfId="11821" xr:uid="{0C575664-E306-4097-86AC-6A263D616C93}"/>
    <cellStyle name="Comma 4 4 5 3" xfId="5452" xr:uid="{00000000-0005-0000-0000-0000190A0000}"/>
    <cellStyle name="Comma 4 4 5 3 2" xfId="13894" xr:uid="{1D68715E-0767-452A-A589-3C6DF3930EC0}"/>
    <cellStyle name="Comma 4 4 5 4" xfId="9676" xr:uid="{3D808AF3-E5ED-4914-9024-CACF79A7A127}"/>
    <cellStyle name="Comma 4 4 6" xfId="1557" xr:uid="{00000000-0005-0000-0000-00001A0A0000}"/>
    <cellStyle name="Comma 4 4 6 2" xfId="3787" xr:uid="{00000000-0005-0000-0000-00001B0A0000}"/>
    <cellStyle name="Comma 4 4 6 2 2" xfId="8010" xr:uid="{00000000-0005-0000-0000-00001C0A0000}"/>
    <cellStyle name="Comma 4 4 6 2 2 2" xfId="16452" xr:uid="{9F4C25B9-92DE-4C38-9D68-CA8C434C7D36}"/>
    <cellStyle name="Comma 4 4 6 2 3" xfId="12234" xr:uid="{6915C576-12B5-439D-93C2-D808B8BC593A}"/>
    <cellStyle name="Comma 4 4 6 3" xfId="5865" xr:uid="{00000000-0005-0000-0000-00001D0A0000}"/>
    <cellStyle name="Comma 4 4 6 3 2" xfId="14307" xr:uid="{7782CB94-8E3B-4B39-9C64-385E68D0057F}"/>
    <cellStyle name="Comma 4 4 6 4" xfId="10089" xr:uid="{31B757D9-B422-4C69-B8BD-31CF2C0F343C}"/>
    <cellStyle name="Comma 4 4 7" xfId="1971" xr:uid="{00000000-0005-0000-0000-00001E0A0000}"/>
    <cellStyle name="Comma 4 4 7 2" xfId="4200" xr:uid="{00000000-0005-0000-0000-00001F0A0000}"/>
    <cellStyle name="Comma 4 4 7 2 2" xfId="8423" xr:uid="{00000000-0005-0000-0000-0000200A0000}"/>
    <cellStyle name="Comma 4 4 7 2 2 2" xfId="16865" xr:uid="{DA2134CC-B339-46F7-B504-9DE72E603411}"/>
    <cellStyle name="Comma 4 4 7 2 3" xfId="12647" xr:uid="{2DE5BFC8-D08D-4FC8-A07B-8AFCD3787DAA}"/>
    <cellStyle name="Comma 4 4 7 3" xfId="6278" xr:uid="{00000000-0005-0000-0000-0000210A0000}"/>
    <cellStyle name="Comma 4 4 7 3 2" xfId="14720" xr:uid="{DBD897E2-2C64-495D-BCED-FDDE28626244}"/>
    <cellStyle name="Comma 4 4 7 4" xfId="10502" xr:uid="{3DE75E90-2AB7-4358-A19A-3FF58B697D65}"/>
    <cellStyle name="Comma 4 4 8" xfId="2406" xr:uid="{00000000-0005-0000-0000-0000220A0000}"/>
    <cellStyle name="Comma 4 4 8 2" xfId="6691" xr:uid="{00000000-0005-0000-0000-0000230A0000}"/>
    <cellStyle name="Comma 4 4 8 2 2" xfId="15133" xr:uid="{5F9124D9-ABD1-4310-97E5-035A454726B6}"/>
    <cellStyle name="Comma 4 4 8 3" xfId="10915" xr:uid="{7DC8B9CF-D37A-4059-BF53-A635379C525B}"/>
    <cellStyle name="Comma 4 4 9" xfId="2702" xr:uid="{00000000-0005-0000-0000-0000240A0000}"/>
    <cellStyle name="Comma 4 5" xfId="157" xr:uid="{00000000-0005-0000-0000-0000250A0000}"/>
    <cellStyle name="Comma 4 5 10" xfId="4629" xr:uid="{00000000-0005-0000-0000-0000260A0000}"/>
    <cellStyle name="Comma 4 5 10 2" xfId="13071" xr:uid="{ECE9FF1A-37BD-4BE0-9A62-2395F0791583}"/>
    <cellStyle name="Comma 4 5 11" xfId="8853" xr:uid="{30DB3CAD-2D31-4C54-8348-93E119228F8F}"/>
    <cellStyle name="Comma 4 5 2" xfId="158" xr:uid="{00000000-0005-0000-0000-0000270A0000}"/>
    <cellStyle name="Comma 4 5 2 10" xfId="8854" xr:uid="{78BDB984-F7B4-4C23-A0C2-3E5DE1225320}"/>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AF72B68C-A5C1-4953-86F5-1E134D7C4FAC}"/>
    <cellStyle name="Comma 4 5 2 2 2 3" xfId="11413" xr:uid="{A18F2C38-BAAB-47E0-9670-654C8D9D53CE}"/>
    <cellStyle name="Comma 4 5 2 2 3" xfId="5044" xr:uid="{00000000-0005-0000-0000-00002B0A0000}"/>
    <cellStyle name="Comma 4 5 2 2 3 2" xfId="13486" xr:uid="{73B2D922-FA3E-40AA-A991-F7656C7344BD}"/>
    <cellStyle name="Comma 4 5 2 2 4" xfId="9268" xr:uid="{62B0F874-D424-48DE-A5B7-D13E5344D53A}"/>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1B3EDF46-BD2B-421C-875D-90F4B9E61D95}"/>
    <cellStyle name="Comma 4 5 2 3 2 3" xfId="11826" xr:uid="{6D145E45-C738-4FD8-B6CE-8FF348F5F496}"/>
    <cellStyle name="Comma 4 5 2 3 3" xfId="5457" xr:uid="{00000000-0005-0000-0000-00002F0A0000}"/>
    <cellStyle name="Comma 4 5 2 3 3 2" xfId="13899" xr:uid="{13C136D3-D0D0-4FB0-BFD2-ADAF8FF1E031}"/>
    <cellStyle name="Comma 4 5 2 3 4" xfId="9681" xr:uid="{020C4764-BE6C-4325-8651-9B7D1BBEA2CC}"/>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CA81F33B-38AF-476F-8B0F-A83E208E8F8C}"/>
    <cellStyle name="Comma 4 5 2 4 2 3" xfId="12239" xr:uid="{359D66E5-CFA0-4F08-B1FC-FA3DD06168D7}"/>
    <cellStyle name="Comma 4 5 2 4 3" xfId="5870" xr:uid="{00000000-0005-0000-0000-0000330A0000}"/>
    <cellStyle name="Comma 4 5 2 4 3 2" xfId="14312" xr:uid="{7E2F5E51-1855-41E3-A562-224B98AE172C}"/>
    <cellStyle name="Comma 4 5 2 4 4" xfId="10094" xr:uid="{19128F3E-DC81-44BB-8DE8-68421B43757A}"/>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24D1BD5F-1ED0-490A-A69F-EC10C6B54806}"/>
    <cellStyle name="Comma 4 5 2 5 2 3" xfId="12652" xr:uid="{3C4FCBF7-8486-4A6D-81C8-57BA72B656B2}"/>
    <cellStyle name="Comma 4 5 2 5 3" xfId="6283" xr:uid="{00000000-0005-0000-0000-0000370A0000}"/>
    <cellStyle name="Comma 4 5 2 5 3 2" xfId="14725" xr:uid="{8502C9B9-E350-421D-A822-86001A4E5A64}"/>
    <cellStyle name="Comma 4 5 2 5 4" xfId="10507" xr:uid="{221A86D2-D837-4E0E-9668-2E72BC6177E8}"/>
    <cellStyle name="Comma 4 5 2 6" xfId="2411" xr:uid="{00000000-0005-0000-0000-0000380A0000}"/>
    <cellStyle name="Comma 4 5 2 6 2" xfId="6696" xr:uid="{00000000-0005-0000-0000-0000390A0000}"/>
    <cellStyle name="Comma 4 5 2 6 2 2" xfId="15138" xr:uid="{91C8097B-2656-4D1F-A5ED-2A69730BD224}"/>
    <cellStyle name="Comma 4 5 2 6 3" xfId="10920" xr:uid="{B146339E-EC7E-416F-9DC0-79D20BDD778D}"/>
    <cellStyle name="Comma 4 5 2 7" xfId="2707" xr:uid="{00000000-0005-0000-0000-00003A0A0000}"/>
    <cellStyle name="Comma 4 5 2 8" xfId="2789" xr:uid="{00000000-0005-0000-0000-00003B0A0000}"/>
    <cellStyle name="Comma 4 5 2 8 2" xfId="7013" xr:uid="{00000000-0005-0000-0000-00003C0A0000}"/>
    <cellStyle name="Comma 4 5 2 8 2 2" xfId="15455" xr:uid="{148A2B42-6F87-4679-B48D-356012AA036F}"/>
    <cellStyle name="Comma 4 5 2 8 3" xfId="11237" xr:uid="{DA7D5593-B8B5-46B9-907E-00D74524AB84}"/>
    <cellStyle name="Comma 4 5 2 9" xfId="4630" xr:uid="{00000000-0005-0000-0000-00003D0A0000}"/>
    <cellStyle name="Comma 4 5 2 9 2" xfId="13072" xr:uid="{5FF2E412-AE01-4AA1-8AB4-00A87B0EF4C9}"/>
    <cellStyle name="Comma 4 5 3" xfId="694" xr:uid="{00000000-0005-0000-0000-00003E0A0000}"/>
    <cellStyle name="Comma 4 5 3 2" xfId="2965" xr:uid="{00000000-0005-0000-0000-00003F0A0000}"/>
    <cellStyle name="Comma 4 5 3 2 2" xfId="7188" xr:uid="{00000000-0005-0000-0000-0000400A0000}"/>
    <cellStyle name="Comma 4 5 3 2 2 2" xfId="15630" xr:uid="{385CF33D-3456-4C73-9EFB-94AC8DE4E52A}"/>
    <cellStyle name="Comma 4 5 3 2 3" xfId="11412" xr:uid="{9A8B9B59-F589-4A87-B983-F6B05174791F}"/>
    <cellStyle name="Comma 4 5 3 3" xfId="5043" xr:uid="{00000000-0005-0000-0000-0000410A0000}"/>
    <cellStyle name="Comma 4 5 3 3 2" xfId="13485" xr:uid="{B23D382F-57AB-4E1F-AABC-AB93C14CE30C}"/>
    <cellStyle name="Comma 4 5 3 4" xfId="9267" xr:uid="{6107A4FF-F3B7-49FA-802D-928934A35FF3}"/>
    <cellStyle name="Comma 4 5 4" xfId="1147" xr:uid="{00000000-0005-0000-0000-0000420A0000}"/>
    <cellStyle name="Comma 4 5 4 2" xfId="3378" xr:uid="{00000000-0005-0000-0000-0000430A0000}"/>
    <cellStyle name="Comma 4 5 4 2 2" xfId="7601" xr:uid="{00000000-0005-0000-0000-0000440A0000}"/>
    <cellStyle name="Comma 4 5 4 2 2 2" xfId="16043" xr:uid="{F31AB944-12DF-416D-AD79-12F07FF80867}"/>
    <cellStyle name="Comma 4 5 4 2 3" xfId="11825" xr:uid="{C7F4DC1E-5D23-4CF4-831B-80584516168D}"/>
    <cellStyle name="Comma 4 5 4 3" xfId="5456" xr:uid="{00000000-0005-0000-0000-0000450A0000}"/>
    <cellStyle name="Comma 4 5 4 3 2" xfId="13898" xr:uid="{3C886FCB-237E-461C-A345-869B9F40AB89}"/>
    <cellStyle name="Comma 4 5 4 4" xfId="9680" xr:uid="{72DF6065-4891-4020-AC9F-B54EC6FAAEA5}"/>
    <cellStyle name="Comma 4 5 5" xfId="1561" xr:uid="{00000000-0005-0000-0000-0000460A0000}"/>
    <cellStyle name="Comma 4 5 5 2" xfId="3791" xr:uid="{00000000-0005-0000-0000-0000470A0000}"/>
    <cellStyle name="Comma 4 5 5 2 2" xfId="8014" xr:uid="{00000000-0005-0000-0000-0000480A0000}"/>
    <cellStyle name="Comma 4 5 5 2 2 2" xfId="16456" xr:uid="{6017FB2F-8BD0-442C-96B7-378F942A14E9}"/>
    <cellStyle name="Comma 4 5 5 2 3" xfId="12238" xr:uid="{2BCB3D29-0220-4B8B-B3F8-90FE4B77B8C0}"/>
    <cellStyle name="Comma 4 5 5 3" xfId="5869" xr:uid="{00000000-0005-0000-0000-0000490A0000}"/>
    <cellStyle name="Comma 4 5 5 3 2" xfId="14311" xr:uid="{CC977399-33A1-4225-BA8D-A8BCB74D960C}"/>
    <cellStyle name="Comma 4 5 5 4" xfId="10093" xr:uid="{3C508524-5312-41F7-BD4A-D51264B4F003}"/>
    <cellStyle name="Comma 4 5 6" xfId="1975" xr:uid="{00000000-0005-0000-0000-00004A0A0000}"/>
    <cellStyle name="Comma 4 5 6 2" xfId="4204" xr:uid="{00000000-0005-0000-0000-00004B0A0000}"/>
    <cellStyle name="Comma 4 5 6 2 2" xfId="8427" xr:uid="{00000000-0005-0000-0000-00004C0A0000}"/>
    <cellStyle name="Comma 4 5 6 2 2 2" xfId="16869" xr:uid="{D5252178-9933-4229-A4C3-B6F142FF2EF3}"/>
    <cellStyle name="Comma 4 5 6 2 3" xfId="12651" xr:uid="{15E5142F-7C15-4C61-9B76-D247CDD5604A}"/>
    <cellStyle name="Comma 4 5 6 3" xfId="6282" xr:uid="{00000000-0005-0000-0000-00004D0A0000}"/>
    <cellStyle name="Comma 4 5 6 3 2" xfId="14724" xr:uid="{863B10FB-C31E-4B57-919B-309A8E00E5C9}"/>
    <cellStyle name="Comma 4 5 6 4" xfId="10506" xr:uid="{2EEF9AD9-6118-4DF9-B0D7-6798ECE0C26E}"/>
    <cellStyle name="Comma 4 5 7" xfId="2410" xr:uid="{00000000-0005-0000-0000-00004E0A0000}"/>
    <cellStyle name="Comma 4 5 7 2" xfId="6695" xr:uid="{00000000-0005-0000-0000-00004F0A0000}"/>
    <cellStyle name="Comma 4 5 7 2 2" xfId="15137" xr:uid="{DDD21281-2F17-44AE-A5B0-6B86D8D731F0}"/>
    <cellStyle name="Comma 4 5 7 3" xfId="10919" xr:uid="{67B4A425-279D-4BE3-B676-2DCC220AD68C}"/>
    <cellStyle name="Comma 4 5 8" xfId="2706" xr:uid="{00000000-0005-0000-0000-0000500A0000}"/>
    <cellStyle name="Comma 4 5 9" xfId="2788" xr:uid="{00000000-0005-0000-0000-0000510A0000}"/>
    <cellStyle name="Comma 4 5 9 2" xfId="7012" xr:uid="{00000000-0005-0000-0000-0000520A0000}"/>
    <cellStyle name="Comma 4 5 9 2 2" xfId="15454" xr:uid="{A16B0D8B-F13C-4D6E-AFE9-6FB447B90874}"/>
    <cellStyle name="Comma 4 5 9 3" xfId="11236" xr:uid="{89EC1ADB-1DA9-4687-B73A-251F9A708F7C}"/>
    <cellStyle name="Comma 4 6" xfId="159" xr:uid="{00000000-0005-0000-0000-0000530A0000}"/>
    <cellStyle name="Comma 4 6 10" xfId="8855" xr:uid="{27A54F26-5A1B-49D8-A836-3C42EFFD177F}"/>
    <cellStyle name="Comma 4 6 2" xfId="696" xr:uid="{00000000-0005-0000-0000-0000540A0000}"/>
    <cellStyle name="Comma 4 6 2 2" xfId="2967" xr:uid="{00000000-0005-0000-0000-0000550A0000}"/>
    <cellStyle name="Comma 4 6 2 2 2" xfId="7190" xr:uid="{00000000-0005-0000-0000-0000560A0000}"/>
    <cellStyle name="Comma 4 6 2 2 2 2" xfId="15632" xr:uid="{8E9521B3-84C2-411C-820B-7425C640CC00}"/>
    <cellStyle name="Comma 4 6 2 2 3" xfId="11414" xr:uid="{CFC32B86-F3E6-4806-9982-53121BB27E81}"/>
    <cellStyle name="Comma 4 6 2 3" xfId="5045" xr:uid="{00000000-0005-0000-0000-0000570A0000}"/>
    <cellStyle name="Comma 4 6 2 3 2" xfId="13487" xr:uid="{A6251A5E-5D7B-4E31-AB03-C0644BB9F138}"/>
    <cellStyle name="Comma 4 6 2 4" xfId="9269" xr:uid="{FC401B8D-326C-4792-A209-5760CE7C990B}"/>
    <cellStyle name="Comma 4 6 3" xfId="1149" xr:uid="{00000000-0005-0000-0000-0000580A0000}"/>
    <cellStyle name="Comma 4 6 3 2" xfId="3380" xr:uid="{00000000-0005-0000-0000-0000590A0000}"/>
    <cellStyle name="Comma 4 6 3 2 2" xfId="7603" xr:uid="{00000000-0005-0000-0000-00005A0A0000}"/>
    <cellStyle name="Comma 4 6 3 2 2 2" xfId="16045" xr:uid="{A56D0544-ACC9-4E8B-8673-77F3D9D08FDA}"/>
    <cellStyle name="Comma 4 6 3 2 3" xfId="11827" xr:uid="{B4D1C947-F459-4BB2-9196-0565E088E1F7}"/>
    <cellStyle name="Comma 4 6 3 3" xfId="5458" xr:uid="{00000000-0005-0000-0000-00005B0A0000}"/>
    <cellStyle name="Comma 4 6 3 3 2" xfId="13900" xr:uid="{121B2AF4-46AD-40F7-9CC6-6895F1F8D962}"/>
    <cellStyle name="Comma 4 6 3 4" xfId="9682" xr:uid="{C31EEB6B-1B8A-496F-84E1-7930A5DC10A3}"/>
    <cellStyle name="Comma 4 6 4" xfId="1563" xr:uid="{00000000-0005-0000-0000-00005C0A0000}"/>
    <cellStyle name="Comma 4 6 4 2" xfId="3793" xr:uid="{00000000-0005-0000-0000-00005D0A0000}"/>
    <cellStyle name="Comma 4 6 4 2 2" xfId="8016" xr:uid="{00000000-0005-0000-0000-00005E0A0000}"/>
    <cellStyle name="Comma 4 6 4 2 2 2" xfId="16458" xr:uid="{DB8985E1-2DCB-4436-89EA-CB0600D8627D}"/>
    <cellStyle name="Comma 4 6 4 2 3" xfId="12240" xr:uid="{EB77BAB5-D73B-4383-8562-B88347E148A1}"/>
    <cellStyle name="Comma 4 6 4 3" xfId="5871" xr:uid="{00000000-0005-0000-0000-00005F0A0000}"/>
    <cellStyle name="Comma 4 6 4 3 2" xfId="14313" xr:uid="{7A9BDA48-4E75-49A9-811E-DE90BA6CC8EE}"/>
    <cellStyle name="Comma 4 6 4 4" xfId="10095" xr:uid="{AE05BAF6-CB42-4DFE-90D8-0000CB6C7393}"/>
    <cellStyle name="Comma 4 6 5" xfId="1977" xr:uid="{00000000-0005-0000-0000-0000600A0000}"/>
    <cellStyle name="Comma 4 6 5 2" xfId="4206" xr:uid="{00000000-0005-0000-0000-0000610A0000}"/>
    <cellStyle name="Comma 4 6 5 2 2" xfId="8429" xr:uid="{00000000-0005-0000-0000-0000620A0000}"/>
    <cellStyle name="Comma 4 6 5 2 2 2" xfId="16871" xr:uid="{54D50173-D174-4240-AAC1-CAD62A21FAF5}"/>
    <cellStyle name="Comma 4 6 5 2 3" xfId="12653" xr:uid="{931AFBDE-D707-4F42-9412-99BF866180BF}"/>
    <cellStyle name="Comma 4 6 5 3" xfId="6284" xr:uid="{00000000-0005-0000-0000-0000630A0000}"/>
    <cellStyle name="Comma 4 6 5 3 2" xfId="14726" xr:uid="{0862D24D-4CFA-4C1A-9213-D426CFAA061D}"/>
    <cellStyle name="Comma 4 6 5 4" xfId="10508" xr:uid="{EEA86FA5-299E-43A5-9322-EC7979BB72BA}"/>
    <cellStyle name="Comma 4 6 6" xfId="2412" xr:uid="{00000000-0005-0000-0000-0000640A0000}"/>
    <cellStyle name="Comma 4 6 6 2" xfId="6697" xr:uid="{00000000-0005-0000-0000-0000650A0000}"/>
    <cellStyle name="Comma 4 6 6 2 2" xfId="15139" xr:uid="{29CB5061-72BE-4603-A264-659CB8ECDD91}"/>
    <cellStyle name="Comma 4 6 6 3" xfId="10921" xr:uid="{31FB212F-411E-4606-9445-8B4B6745DC71}"/>
    <cellStyle name="Comma 4 6 7" xfId="2708" xr:uid="{00000000-0005-0000-0000-0000660A0000}"/>
    <cellStyle name="Comma 4 6 8" xfId="2790" xr:uid="{00000000-0005-0000-0000-0000670A0000}"/>
    <cellStyle name="Comma 4 6 8 2" xfId="7014" xr:uid="{00000000-0005-0000-0000-0000680A0000}"/>
    <cellStyle name="Comma 4 6 8 2 2" xfId="15456" xr:uid="{3E718FA6-A104-4CA0-98EC-2D97916FE35F}"/>
    <cellStyle name="Comma 4 6 8 3" xfId="11238" xr:uid="{3BA30724-21FB-4D94-A302-63F05707958D}"/>
    <cellStyle name="Comma 4 6 9" xfId="4631" xr:uid="{00000000-0005-0000-0000-0000690A0000}"/>
    <cellStyle name="Comma 4 6 9 2" xfId="13073" xr:uid="{16D5E64D-288C-420F-93AA-822F3CA00DD5}"/>
    <cellStyle name="Comma 4 7" xfId="160" xr:uid="{00000000-0005-0000-0000-00006A0A0000}"/>
    <cellStyle name="Comma 4 7 10" xfId="8856" xr:uid="{9B499D94-F2DB-4FC4-80C7-74B1C484FCEA}"/>
    <cellStyle name="Comma 4 7 2" xfId="697" xr:uid="{00000000-0005-0000-0000-00006B0A0000}"/>
    <cellStyle name="Comma 4 7 2 2" xfId="2968" xr:uid="{00000000-0005-0000-0000-00006C0A0000}"/>
    <cellStyle name="Comma 4 7 2 2 2" xfId="7191" xr:uid="{00000000-0005-0000-0000-00006D0A0000}"/>
    <cellStyle name="Comma 4 7 2 2 2 2" xfId="15633" xr:uid="{07765833-4587-47E8-B90D-DCDA2932729E}"/>
    <cellStyle name="Comma 4 7 2 2 3" xfId="11415" xr:uid="{2D790BC5-3A58-463C-8F10-A29AD39E1CE4}"/>
    <cellStyle name="Comma 4 7 2 3" xfId="5046" xr:uid="{00000000-0005-0000-0000-00006E0A0000}"/>
    <cellStyle name="Comma 4 7 2 3 2" xfId="13488" xr:uid="{11EB891D-80F6-442A-BD34-077CFB735675}"/>
    <cellStyle name="Comma 4 7 2 4" xfId="9270" xr:uid="{676E5A3E-400E-48D9-9142-5C1467156893}"/>
    <cellStyle name="Comma 4 7 3" xfId="1150" xr:uid="{00000000-0005-0000-0000-00006F0A0000}"/>
    <cellStyle name="Comma 4 7 3 2" xfId="3381" xr:uid="{00000000-0005-0000-0000-0000700A0000}"/>
    <cellStyle name="Comma 4 7 3 2 2" xfId="7604" xr:uid="{00000000-0005-0000-0000-0000710A0000}"/>
    <cellStyle name="Comma 4 7 3 2 2 2" xfId="16046" xr:uid="{0033C593-AC8A-4076-9338-43005D1F7E58}"/>
    <cellStyle name="Comma 4 7 3 2 3" xfId="11828" xr:uid="{3EBC1D56-E07F-43BB-9B49-4BC7315EB77C}"/>
    <cellStyle name="Comma 4 7 3 3" xfId="5459" xr:uid="{00000000-0005-0000-0000-0000720A0000}"/>
    <cellStyle name="Comma 4 7 3 3 2" xfId="13901" xr:uid="{EFFC6759-7500-4B54-833A-6DDE023D2C1D}"/>
    <cellStyle name="Comma 4 7 3 4" xfId="9683" xr:uid="{4B4AB51E-A71F-49AD-8D31-3A9E6E19E6D1}"/>
    <cellStyle name="Comma 4 7 4" xfId="1564" xr:uid="{00000000-0005-0000-0000-0000730A0000}"/>
    <cellStyle name="Comma 4 7 4 2" xfId="3794" xr:uid="{00000000-0005-0000-0000-0000740A0000}"/>
    <cellStyle name="Comma 4 7 4 2 2" xfId="8017" xr:uid="{00000000-0005-0000-0000-0000750A0000}"/>
    <cellStyle name="Comma 4 7 4 2 2 2" xfId="16459" xr:uid="{75AB9243-E962-4D05-9FF2-D89C217687A5}"/>
    <cellStyle name="Comma 4 7 4 2 3" xfId="12241" xr:uid="{28C18EB7-0C53-4BCC-B760-7944EB14ABA6}"/>
    <cellStyle name="Comma 4 7 4 3" xfId="5872" xr:uid="{00000000-0005-0000-0000-0000760A0000}"/>
    <cellStyle name="Comma 4 7 4 3 2" xfId="14314" xr:uid="{8DBCEB2B-2437-40F6-A29B-043EB0499874}"/>
    <cellStyle name="Comma 4 7 4 4" xfId="10096" xr:uid="{87E42829-F19E-4F7B-B7D2-42B1E36FBB51}"/>
    <cellStyle name="Comma 4 7 5" xfId="1978" xr:uid="{00000000-0005-0000-0000-0000770A0000}"/>
    <cellStyle name="Comma 4 7 5 2" xfId="4207" xr:uid="{00000000-0005-0000-0000-0000780A0000}"/>
    <cellStyle name="Comma 4 7 5 2 2" xfId="8430" xr:uid="{00000000-0005-0000-0000-0000790A0000}"/>
    <cellStyle name="Comma 4 7 5 2 2 2" xfId="16872" xr:uid="{4D5C4BDE-C1E3-4C8E-84F5-DD502435C63C}"/>
    <cellStyle name="Comma 4 7 5 2 3" xfId="12654" xr:uid="{9FC6068A-EE35-47B0-B1C9-E5D1EF72C371}"/>
    <cellStyle name="Comma 4 7 5 3" xfId="6285" xr:uid="{00000000-0005-0000-0000-00007A0A0000}"/>
    <cellStyle name="Comma 4 7 5 3 2" xfId="14727" xr:uid="{56F0BFA5-4375-4A0F-B2B3-474155E6E97B}"/>
    <cellStyle name="Comma 4 7 5 4" xfId="10509" xr:uid="{DEBDBEC7-B8AF-437B-88F5-9E74615B08A0}"/>
    <cellStyle name="Comma 4 7 6" xfId="2413" xr:uid="{00000000-0005-0000-0000-00007B0A0000}"/>
    <cellStyle name="Comma 4 7 6 2" xfId="6698" xr:uid="{00000000-0005-0000-0000-00007C0A0000}"/>
    <cellStyle name="Comma 4 7 6 2 2" xfId="15140" xr:uid="{81AB5E7F-CD66-4A8D-92A7-38DAA12B05A8}"/>
    <cellStyle name="Comma 4 7 6 3" xfId="10922" xr:uid="{42CBFB04-BC68-4223-9474-259A432BB42F}"/>
    <cellStyle name="Comma 4 7 7" xfId="2709" xr:uid="{00000000-0005-0000-0000-00007D0A0000}"/>
    <cellStyle name="Comma 4 7 8" xfId="2791" xr:uid="{00000000-0005-0000-0000-00007E0A0000}"/>
    <cellStyle name="Comma 4 7 8 2" xfId="7015" xr:uid="{00000000-0005-0000-0000-00007F0A0000}"/>
    <cellStyle name="Comma 4 7 8 2 2" xfId="15457" xr:uid="{A6C6216A-EB38-4DB0-BC22-4286A291E658}"/>
    <cellStyle name="Comma 4 7 8 3" xfId="11239" xr:uid="{B1B94C69-D787-49DC-8955-DA2C7EFC5504}"/>
    <cellStyle name="Comma 4 7 9" xfId="4632" xr:uid="{00000000-0005-0000-0000-0000800A0000}"/>
    <cellStyle name="Comma 4 7 9 2" xfId="13074" xr:uid="{BAA5B143-5403-4F3E-8C3E-02B4525AF7CF}"/>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E38098EB-15C8-42D2-B803-C0E297D2FEE3}"/>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B9A875B9-5EA2-4D49-AAF7-C5336D0852BA}"/>
    <cellStyle name="Currency 14 3" xfId="8720" xr:uid="{729B09A7-2394-4D7C-912C-1471FB3455A3}"/>
    <cellStyle name="Currency 14 3 2" xfId="8724" xr:uid="{1945FB0F-31EC-4D98-B64C-BAFBADA341A1}"/>
    <cellStyle name="Currency 14 3 2 2" xfId="8727" xr:uid="{03BA8DEE-11D2-406B-B26D-8EE163916FB0}"/>
    <cellStyle name="Currency 14 3 2 2 2" xfId="17168" xr:uid="{DD15EE17-A17C-4F4A-968C-6CB6FC8E60B6}"/>
    <cellStyle name="Currency 14 3 2 3" xfId="17165" xr:uid="{1CBD0784-51EB-45E5-9449-8F57F5A887B5}"/>
    <cellStyle name="Currency 14 3 3" xfId="17162" xr:uid="{31FD44B0-E1A8-4E6D-A15A-DBFC1347D2DD}"/>
    <cellStyle name="Currency 14 4" xfId="12945" xr:uid="{229C59E7-3234-4EC2-AFBE-0A8C6D41E737}"/>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B9E503EE-D00D-4975-9188-01C0A18DDBE5}"/>
    <cellStyle name="Currency 3 2 2 10 3" xfId="11240" xr:uid="{7BEF330C-AD5E-4FA0-8B6E-AFC8366641EA}"/>
    <cellStyle name="Currency 3 2 2 11" xfId="4633" xr:uid="{00000000-0005-0000-0000-0000A50A0000}"/>
    <cellStyle name="Currency 3 2 2 11 2" xfId="13075" xr:uid="{1F824FFE-8F8B-4A24-B887-34FECA119E28}"/>
    <cellStyle name="Currency 3 2 2 12" xfId="8857" xr:uid="{76E41DB4-C661-46E1-B839-0115F22C65B8}"/>
    <cellStyle name="Currency 3 2 2 2" xfId="179" xr:uid="{00000000-0005-0000-0000-0000A60A0000}"/>
    <cellStyle name="Currency 3 2 2 2 10" xfId="4634" xr:uid="{00000000-0005-0000-0000-0000A70A0000}"/>
    <cellStyle name="Currency 3 2 2 2 10 2" xfId="13076" xr:uid="{B0593F35-1B81-4E85-A903-398EE17A3797}"/>
    <cellStyle name="Currency 3 2 2 2 11" xfId="8858" xr:uid="{4380391A-8E1B-47FE-8004-C0712ECF2FDB}"/>
    <cellStyle name="Currency 3 2 2 2 2" xfId="180" xr:uid="{00000000-0005-0000-0000-0000A80A0000}"/>
    <cellStyle name="Currency 3 2 2 2 2 10" xfId="8859" xr:uid="{624441CC-9BA6-41E8-A02B-474EC21C508F}"/>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63B2ABBE-AE85-474D-B2DC-0765434D78F5}"/>
    <cellStyle name="Currency 3 2 2 2 2 2 2 3" xfId="11418" xr:uid="{19A74164-555E-46FC-8E60-75D53DBBED31}"/>
    <cellStyle name="Currency 3 2 2 2 2 2 3" xfId="5049" xr:uid="{00000000-0005-0000-0000-0000AC0A0000}"/>
    <cellStyle name="Currency 3 2 2 2 2 2 3 2" xfId="13491" xr:uid="{6A5AEBFE-E6C4-4C37-9CB4-D6B1EC779370}"/>
    <cellStyle name="Currency 3 2 2 2 2 2 4" xfId="9273" xr:uid="{66CD41A2-0105-4017-A501-23484A027198}"/>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A3CDFF53-425D-443C-A5C4-3950FE78619A}"/>
    <cellStyle name="Currency 3 2 2 2 2 3 2 3" xfId="11831" xr:uid="{2C797AA9-C829-4876-AE7D-E72E4F52429D}"/>
    <cellStyle name="Currency 3 2 2 2 2 3 3" xfId="5462" xr:uid="{00000000-0005-0000-0000-0000B00A0000}"/>
    <cellStyle name="Currency 3 2 2 2 2 3 3 2" xfId="13904" xr:uid="{3EC91A0A-6104-4990-834E-07A30E2D47F1}"/>
    <cellStyle name="Currency 3 2 2 2 2 3 4" xfId="9686" xr:uid="{F7970B88-E009-4EB6-994B-F2BD585F384F}"/>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FADA5DAE-328E-4231-B77A-63BCBCA1434A}"/>
    <cellStyle name="Currency 3 2 2 2 2 4 2 3" xfId="12244" xr:uid="{17986E4E-294B-40B6-A7F0-6C309A5BA354}"/>
    <cellStyle name="Currency 3 2 2 2 2 4 3" xfId="5875" xr:uid="{00000000-0005-0000-0000-0000B40A0000}"/>
    <cellStyle name="Currency 3 2 2 2 2 4 3 2" xfId="14317" xr:uid="{18601A08-CEDA-4DB7-B20C-294A64E773DC}"/>
    <cellStyle name="Currency 3 2 2 2 2 4 4" xfId="10099" xr:uid="{785AB9B3-0603-4B4C-A0A7-6197708B93D6}"/>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95A48126-7381-4DBF-AB7A-E75742F52369}"/>
    <cellStyle name="Currency 3 2 2 2 2 5 2 3" xfId="12657" xr:uid="{33456915-E92F-4C5D-ACEB-44EF852E7A5C}"/>
    <cellStyle name="Currency 3 2 2 2 2 5 3" xfId="6288" xr:uid="{00000000-0005-0000-0000-0000B80A0000}"/>
    <cellStyle name="Currency 3 2 2 2 2 5 3 2" xfId="14730" xr:uid="{28227AC9-6D1A-47A7-BCB5-E2D41E979F66}"/>
    <cellStyle name="Currency 3 2 2 2 2 5 4" xfId="10512" xr:uid="{DE2C81A8-025B-4B95-862B-C0848A1C9049}"/>
    <cellStyle name="Currency 3 2 2 2 2 6" xfId="2416" xr:uid="{00000000-0005-0000-0000-0000B90A0000}"/>
    <cellStyle name="Currency 3 2 2 2 2 6 2" xfId="6701" xr:uid="{00000000-0005-0000-0000-0000BA0A0000}"/>
    <cellStyle name="Currency 3 2 2 2 2 6 2 2" xfId="15143" xr:uid="{BEA7DA2A-3124-40FD-898C-5726AF61B530}"/>
    <cellStyle name="Currency 3 2 2 2 2 6 3" xfId="10925" xr:uid="{D327709A-7123-4E04-AC92-58DC18DD4002}"/>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E7D65EBE-D57E-4DE0-8C14-DD531342E083}"/>
    <cellStyle name="Currency 3 2 2 2 2 8 3" xfId="11242" xr:uid="{F8E0E8E3-307C-44E4-87CD-173FEE5CAABE}"/>
    <cellStyle name="Currency 3 2 2 2 2 9" xfId="4635" xr:uid="{00000000-0005-0000-0000-0000BE0A0000}"/>
    <cellStyle name="Currency 3 2 2 2 2 9 2" xfId="13077" xr:uid="{114A2DA6-6DD5-4A50-94CE-A56A856FF388}"/>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6D0DE0AE-E605-4872-8716-5FC56CFCD549}"/>
    <cellStyle name="Currency 3 2 2 2 3 2 3" xfId="11417" xr:uid="{07C382B1-C058-4C71-BD64-AB6056CAF84E}"/>
    <cellStyle name="Currency 3 2 2 2 3 3" xfId="5048" xr:uid="{00000000-0005-0000-0000-0000C20A0000}"/>
    <cellStyle name="Currency 3 2 2 2 3 3 2" xfId="13490" xr:uid="{ECB7F2DD-12ED-4C3D-B542-5491BAC21D38}"/>
    <cellStyle name="Currency 3 2 2 2 3 4" xfId="9272" xr:uid="{FAF06CB4-31F9-4779-842A-B03E1F3E8EF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14FA7FD1-7F1F-4A40-8849-B1D42F5AF915}"/>
    <cellStyle name="Currency 3 2 2 2 4 2 3" xfId="11830" xr:uid="{951E65F1-CAF7-47B2-A6E6-CB4E01076780}"/>
    <cellStyle name="Currency 3 2 2 2 4 3" xfId="5461" xr:uid="{00000000-0005-0000-0000-0000C60A0000}"/>
    <cellStyle name="Currency 3 2 2 2 4 3 2" xfId="13903" xr:uid="{AE8BFDEE-9A75-4D4A-BEE7-35C79316FC87}"/>
    <cellStyle name="Currency 3 2 2 2 4 4" xfId="9685" xr:uid="{11305411-C1A7-4CBC-9430-A70181D899B5}"/>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160BB381-821E-4371-96BC-5DCF1F01EBD2}"/>
    <cellStyle name="Currency 3 2 2 2 5 2 3" xfId="12243" xr:uid="{E087840E-2A5B-49B1-BA04-C635A080708A}"/>
    <cellStyle name="Currency 3 2 2 2 5 3" xfId="5874" xr:uid="{00000000-0005-0000-0000-0000CA0A0000}"/>
    <cellStyle name="Currency 3 2 2 2 5 3 2" xfId="14316" xr:uid="{C77AD726-0015-424C-BE43-9B0CFB415C58}"/>
    <cellStyle name="Currency 3 2 2 2 5 4" xfId="10098" xr:uid="{26BA9139-E55E-447E-980A-990A9995010C}"/>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98EDD55C-3F9B-49D7-AC56-6A69B5C77688}"/>
    <cellStyle name="Currency 3 2 2 2 6 2 3" xfId="12656" xr:uid="{44B88DB0-A5B9-41BB-A500-794C0F054851}"/>
    <cellStyle name="Currency 3 2 2 2 6 3" xfId="6287" xr:uid="{00000000-0005-0000-0000-0000CE0A0000}"/>
    <cellStyle name="Currency 3 2 2 2 6 3 2" xfId="14729" xr:uid="{8AC9F994-29F6-4ED9-969D-529810355783}"/>
    <cellStyle name="Currency 3 2 2 2 6 4" xfId="10511" xr:uid="{9347344F-70A3-4403-9D34-E02DB6C4EF03}"/>
    <cellStyle name="Currency 3 2 2 2 7" xfId="2415" xr:uid="{00000000-0005-0000-0000-0000CF0A0000}"/>
    <cellStyle name="Currency 3 2 2 2 7 2" xfId="6700" xr:uid="{00000000-0005-0000-0000-0000D00A0000}"/>
    <cellStyle name="Currency 3 2 2 2 7 2 2" xfId="15142" xr:uid="{6F6374C6-490C-4EDC-B9FD-8C6FE5186F6F}"/>
    <cellStyle name="Currency 3 2 2 2 7 3" xfId="10924" xr:uid="{4BDB50DC-6288-4297-B601-37E94008BD03}"/>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FF458703-8043-4F5E-9079-B0982040A40A}"/>
    <cellStyle name="Currency 3 2 2 2 9 3" xfId="11241" xr:uid="{E9916806-B028-4FB8-8F41-964ED991085D}"/>
    <cellStyle name="Currency 3 2 2 3" xfId="181" xr:uid="{00000000-0005-0000-0000-0000D40A0000}"/>
    <cellStyle name="Currency 3 2 2 3 10" xfId="8860" xr:uid="{DF2865DF-D07E-447A-8196-075369CF1E71}"/>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DEAB0E1B-3AA1-45DE-A179-3D47647B8FED}"/>
    <cellStyle name="Currency 3 2 2 3 2 2 3" xfId="11419" xr:uid="{D002C3AF-1C27-4B2E-A876-EE09213974A3}"/>
    <cellStyle name="Currency 3 2 2 3 2 3" xfId="5050" xr:uid="{00000000-0005-0000-0000-0000D80A0000}"/>
    <cellStyle name="Currency 3 2 2 3 2 3 2" xfId="13492" xr:uid="{F1426FAE-5056-42BD-96F5-5AB349571C3E}"/>
    <cellStyle name="Currency 3 2 2 3 2 4" xfId="9274" xr:uid="{27472A97-C203-465B-97DD-C9B38A097F15}"/>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1ECB44EE-D37A-43CA-9103-580E77AA8DB5}"/>
    <cellStyle name="Currency 3 2 2 3 3 2 3" xfId="11832" xr:uid="{31767727-A6D5-4162-9311-2DC36BC6C6D7}"/>
    <cellStyle name="Currency 3 2 2 3 3 3" xfId="5463" xr:uid="{00000000-0005-0000-0000-0000DC0A0000}"/>
    <cellStyle name="Currency 3 2 2 3 3 3 2" xfId="13905" xr:uid="{045726EE-CFE0-46D4-8497-6E3CBC6D3661}"/>
    <cellStyle name="Currency 3 2 2 3 3 4" xfId="9687" xr:uid="{EDEF4643-8260-48C0-ACDA-EB4FC97935D1}"/>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D3E07DF4-D510-47AB-BF1F-11F64730FA05}"/>
    <cellStyle name="Currency 3 2 2 3 4 2 3" xfId="12245" xr:uid="{17D88A13-AAE8-4FA5-825A-F08238C50341}"/>
    <cellStyle name="Currency 3 2 2 3 4 3" xfId="5876" xr:uid="{00000000-0005-0000-0000-0000E00A0000}"/>
    <cellStyle name="Currency 3 2 2 3 4 3 2" xfId="14318" xr:uid="{3FBAC611-F974-41A9-A617-D72ED9CAA75F}"/>
    <cellStyle name="Currency 3 2 2 3 4 4" xfId="10100" xr:uid="{901CBF64-9DFB-4583-88C6-49E814407B0B}"/>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A2E2FB4F-7FB4-470C-9C55-423BCC011D4E}"/>
    <cellStyle name="Currency 3 2 2 3 5 2 3" xfId="12658" xr:uid="{5CE9FA97-5CDF-4A6E-A329-ADC995C853FD}"/>
    <cellStyle name="Currency 3 2 2 3 5 3" xfId="6289" xr:uid="{00000000-0005-0000-0000-0000E40A0000}"/>
    <cellStyle name="Currency 3 2 2 3 5 3 2" xfId="14731" xr:uid="{A9419F4B-A846-4013-8BEE-F62FAEFAFAAD}"/>
    <cellStyle name="Currency 3 2 2 3 5 4" xfId="10513" xr:uid="{E028E0FA-97D6-43CE-973C-60A8026729EC}"/>
    <cellStyle name="Currency 3 2 2 3 6" xfId="2417" xr:uid="{00000000-0005-0000-0000-0000E50A0000}"/>
    <cellStyle name="Currency 3 2 2 3 6 2" xfId="6702" xr:uid="{00000000-0005-0000-0000-0000E60A0000}"/>
    <cellStyle name="Currency 3 2 2 3 6 2 2" xfId="15144" xr:uid="{56F90530-071D-42F1-8C82-FA8766FC7984}"/>
    <cellStyle name="Currency 3 2 2 3 6 3" xfId="10926" xr:uid="{37019603-4635-4F4F-B15A-046A3EFE8E7B}"/>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8B89C28F-6E15-4CEC-B979-A948AFD7FF8A}"/>
    <cellStyle name="Currency 3 2 2 3 8 3" xfId="11243" xr:uid="{E39883F4-A49B-4824-ACEA-0A3FF0A480DF}"/>
    <cellStyle name="Currency 3 2 2 3 9" xfId="4636" xr:uid="{00000000-0005-0000-0000-0000EA0A0000}"/>
    <cellStyle name="Currency 3 2 2 3 9 2" xfId="13078" xr:uid="{112BD11C-681E-4B66-9E25-71E32171053D}"/>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55DB34BC-3FB1-48FC-A807-FCB08277D3A2}"/>
    <cellStyle name="Currency 3 2 2 4 2 3" xfId="11416" xr:uid="{8F180BCF-DB57-45CB-88C1-2683502CE6D3}"/>
    <cellStyle name="Currency 3 2 2 4 3" xfId="5047" xr:uid="{00000000-0005-0000-0000-0000EE0A0000}"/>
    <cellStyle name="Currency 3 2 2 4 3 2" xfId="13489" xr:uid="{E89461E8-E565-4CEB-9F2D-A9E2113D430E}"/>
    <cellStyle name="Currency 3 2 2 4 4" xfId="9271" xr:uid="{B0EFE864-4D3D-4226-89EE-436B9BA79A5A}"/>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184578BF-7D49-4365-ACFE-F2D2C4F701F9}"/>
    <cellStyle name="Currency 3 2 2 5 2 3" xfId="11829" xr:uid="{EB498EC2-F922-482F-B394-747C0691D51B}"/>
    <cellStyle name="Currency 3 2 2 5 3" xfId="5460" xr:uid="{00000000-0005-0000-0000-0000F20A0000}"/>
    <cellStyle name="Currency 3 2 2 5 3 2" xfId="13902" xr:uid="{7618F4D1-C795-4565-9673-4D706616AE0E}"/>
    <cellStyle name="Currency 3 2 2 5 4" xfId="9684" xr:uid="{922B0D20-9531-4F42-80E8-D21D66564079}"/>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5385968F-329D-4D1E-BB3C-CF23240A61FA}"/>
    <cellStyle name="Currency 3 2 2 6 2 3" xfId="12242" xr:uid="{5D1AF68E-1328-4B15-A463-9B8593061C3D}"/>
    <cellStyle name="Currency 3 2 2 6 3" xfId="5873" xr:uid="{00000000-0005-0000-0000-0000F60A0000}"/>
    <cellStyle name="Currency 3 2 2 6 3 2" xfId="14315" xr:uid="{E2A10E75-FF40-4975-B98F-47D8F8D51D5B}"/>
    <cellStyle name="Currency 3 2 2 6 4" xfId="10097" xr:uid="{A76E700D-C7AB-4D3E-8F61-65837F2D4483}"/>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09A6A86D-A72E-424B-895C-217E4A4AD4EF}"/>
    <cellStyle name="Currency 3 2 2 7 2 3" xfId="12655" xr:uid="{E51FE0EC-1E6C-4B42-9345-59ACB211EEF5}"/>
    <cellStyle name="Currency 3 2 2 7 3" xfId="6286" xr:uid="{00000000-0005-0000-0000-0000FA0A0000}"/>
    <cellStyle name="Currency 3 2 2 7 3 2" xfId="14728" xr:uid="{A25C22E1-4B25-481F-9EBF-0BB3F4214DD9}"/>
    <cellStyle name="Currency 3 2 2 7 4" xfId="10510" xr:uid="{96EA0F1E-FFC2-4414-B4F2-B421AD50941A}"/>
    <cellStyle name="Currency 3 2 2 8" xfId="2414" xr:uid="{00000000-0005-0000-0000-0000FB0A0000}"/>
    <cellStyle name="Currency 3 2 2 8 2" xfId="6699" xr:uid="{00000000-0005-0000-0000-0000FC0A0000}"/>
    <cellStyle name="Currency 3 2 2 8 2 2" xfId="15141" xr:uid="{F874DD52-84C7-4E91-9407-5256E0C2E5FE}"/>
    <cellStyle name="Currency 3 2 2 8 3" xfId="10923" xr:uid="{8BFA8CD7-37E7-4CCA-8F3F-E9AC10CABEE7}"/>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89B2CCA4-77F2-415E-8A7E-3B60CF1DCE3F}"/>
    <cellStyle name="Currency 3 2 3 11" xfId="8861" xr:uid="{F719BC32-B8FB-48F1-98CA-2140438A1E2F}"/>
    <cellStyle name="Currency 3 2 3 2" xfId="183" xr:uid="{00000000-0005-0000-0000-0000000B0000}"/>
    <cellStyle name="Currency 3 2 3 2 10" xfId="8862" xr:uid="{221B6B7C-0F3E-4EE1-942A-31DDF3155FB6}"/>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FC0C60E2-DB38-49B3-9A28-FA5FCB7369F7}"/>
    <cellStyle name="Currency 3 2 3 2 2 2 3" xfId="11421" xr:uid="{93EC11AD-468E-4DEA-B310-EDE88833F7D4}"/>
    <cellStyle name="Currency 3 2 3 2 2 3" xfId="5052" xr:uid="{00000000-0005-0000-0000-0000040B0000}"/>
    <cellStyle name="Currency 3 2 3 2 2 3 2" xfId="13494" xr:uid="{D67AE90F-5666-465C-8910-FD021C447DDA}"/>
    <cellStyle name="Currency 3 2 3 2 2 4" xfId="9276" xr:uid="{50C6EF65-23FA-4AA9-8E0F-A326A060E178}"/>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83EBFCC4-6271-4CA7-8358-2C96C144AC1E}"/>
    <cellStyle name="Currency 3 2 3 2 3 2 3" xfId="11834" xr:uid="{4570FAA8-F947-43DA-BED3-862957F13382}"/>
    <cellStyle name="Currency 3 2 3 2 3 3" xfId="5465" xr:uid="{00000000-0005-0000-0000-0000080B0000}"/>
    <cellStyle name="Currency 3 2 3 2 3 3 2" xfId="13907" xr:uid="{4E1E539F-CB08-41A7-BD58-71380A3694A4}"/>
    <cellStyle name="Currency 3 2 3 2 3 4" xfId="9689" xr:uid="{C7C83CA2-04CB-4B85-85C0-DB32842055B1}"/>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41229481-9896-4580-A509-7D08329C4540}"/>
    <cellStyle name="Currency 3 2 3 2 4 2 3" xfId="12247" xr:uid="{FCD4DF4B-DDF6-4006-8E75-18B7556CE5EC}"/>
    <cellStyle name="Currency 3 2 3 2 4 3" xfId="5878" xr:uid="{00000000-0005-0000-0000-00000C0B0000}"/>
    <cellStyle name="Currency 3 2 3 2 4 3 2" xfId="14320" xr:uid="{B0BA3134-06E1-48E6-8423-492768B99870}"/>
    <cellStyle name="Currency 3 2 3 2 4 4" xfId="10102" xr:uid="{0DB66C76-033C-4629-B9EC-EEEE0E561AF4}"/>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37C0399B-A9B6-4A21-8A62-36DBBD198409}"/>
    <cellStyle name="Currency 3 2 3 2 5 2 3" xfId="12660" xr:uid="{CA3DE8D0-98E4-4E44-9717-0A8D223328A7}"/>
    <cellStyle name="Currency 3 2 3 2 5 3" xfId="6291" xr:uid="{00000000-0005-0000-0000-0000100B0000}"/>
    <cellStyle name="Currency 3 2 3 2 5 3 2" xfId="14733" xr:uid="{23C91E35-8488-4C8D-A983-1AFEF1E04FDD}"/>
    <cellStyle name="Currency 3 2 3 2 5 4" xfId="10515" xr:uid="{4B362BC3-DF86-4BEE-A332-CB298C55EA4D}"/>
    <cellStyle name="Currency 3 2 3 2 6" xfId="2419" xr:uid="{00000000-0005-0000-0000-0000110B0000}"/>
    <cellStyle name="Currency 3 2 3 2 6 2" xfId="6704" xr:uid="{00000000-0005-0000-0000-0000120B0000}"/>
    <cellStyle name="Currency 3 2 3 2 6 2 2" xfId="15146" xr:uid="{1F9ABDE8-B6F9-4801-9E26-72BA7A8508CD}"/>
    <cellStyle name="Currency 3 2 3 2 6 3" xfId="10928" xr:uid="{183A9BE4-CC2E-43D1-8C9A-801F5F4357CE}"/>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13F14A4E-E2FF-4309-8B75-90F4B995FCBA}"/>
    <cellStyle name="Currency 3 2 3 2 8 3" xfId="11245" xr:uid="{94C458B3-F91D-4C5B-BB51-5C533E08D933}"/>
    <cellStyle name="Currency 3 2 3 2 9" xfId="4638" xr:uid="{00000000-0005-0000-0000-0000160B0000}"/>
    <cellStyle name="Currency 3 2 3 2 9 2" xfId="13080" xr:uid="{F1A90E2B-8FBC-4BE2-A9FB-5AB33307C4FB}"/>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441F86D7-0726-4A02-81B5-BEFFC24EF918}"/>
    <cellStyle name="Currency 3 2 3 3 2 3" xfId="11420" xr:uid="{6042B71D-9CE0-44B4-973F-14623881CC12}"/>
    <cellStyle name="Currency 3 2 3 3 3" xfId="5051" xr:uid="{00000000-0005-0000-0000-00001A0B0000}"/>
    <cellStyle name="Currency 3 2 3 3 3 2" xfId="13493" xr:uid="{D8D0EDAE-C0DF-44E6-944E-81CC2799B153}"/>
    <cellStyle name="Currency 3 2 3 3 4" xfId="9275" xr:uid="{83F0DE26-DD7D-46DA-A481-FECC611685C5}"/>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71A11A9E-8294-45D9-98C3-FA1FFB7E5CF4}"/>
    <cellStyle name="Currency 3 2 3 4 2 3" xfId="11833" xr:uid="{4F3CE75C-2D06-49AE-9D41-52BC62459BDB}"/>
    <cellStyle name="Currency 3 2 3 4 3" xfId="5464" xr:uid="{00000000-0005-0000-0000-00001E0B0000}"/>
    <cellStyle name="Currency 3 2 3 4 3 2" xfId="13906" xr:uid="{061353D0-D04A-4C3B-9DDE-AEA4A6A24E73}"/>
    <cellStyle name="Currency 3 2 3 4 4" xfId="9688" xr:uid="{1101D452-3B7C-46DE-8AB3-6D03BBCF1B6C}"/>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D332E4D0-4DBD-4C2D-A2D0-33C7BA9BF3F2}"/>
    <cellStyle name="Currency 3 2 3 5 2 3" xfId="12246" xr:uid="{B35F5721-6E38-41BC-86B5-E5AC03FAD2F0}"/>
    <cellStyle name="Currency 3 2 3 5 3" xfId="5877" xr:uid="{00000000-0005-0000-0000-0000220B0000}"/>
    <cellStyle name="Currency 3 2 3 5 3 2" xfId="14319" xr:uid="{85AA0322-158F-402F-8432-F766C80CD5E0}"/>
    <cellStyle name="Currency 3 2 3 5 4" xfId="10101" xr:uid="{E10A01BA-189B-4428-82D0-36B1896A7DA3}"/>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9F5321BB-7BFE-4BE0-B20D-0AD2C1DFA6FC}"/>
    <cellStyle name="Currency 3 2 3 6 2 3" xfId="12659" xr:uid="{0BA3B5BB-FC35-4F6D-922B-D513FEF2565C}"/>
    <cellStyle name="Currency 3 2 3 6 3" xfId="6290" xr:uid="{00000000-0005-0000-0000-0000260B0000}"/>
    <cellStyle name="Currency 3 2 3 6 3 2" xfId="14732" xr:uid="{E75E0920-02CF-4671-8DD4-872A0B3EB9DB}"/>
    <cellStyle name="Currency 3 2 3 6 4" xfId="10514" xr:uid="{7CF0AD7D-1B7A-4025-9900-84DC49227A1D}"/>
    <cellStyle name="Currency 3 2 3 7" xfId="2418" xr:uid="{00000000-0005-0000-0000-0000270B0000}"/>
    <cellStyle name="Currency 3 2 3 7 2" xfId="6703" xr:uid="{00000000-0005-0000-0000-0000280B0000}"/>
    <cellStyle name="Currency 3 2 3 7 2 2" xfId="15145" xr:uid="{A5642753-DD58-4939-8316-14EC3EB16709}"/>
    <cellStyle name="Currency 3 2 3 7 3" xfId="10927" xr:uid="{69882E7A-254C-4F7A-ACC8-42098D508C73}"/>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B5350B21-EF07-4B72-8427-77B3CA5415FB}"/>
    <cellStyle name="Currency 3 2 3 9 3" xfId="11244" xr:uid="{1B2DB52C-54FB-4B68-91FF-D2E9CEDD9953}"/>
    <cellStyle name="Currency 3 2 4" xfId="184" xr:uid="{00000000-0005-0000-0000-00002C0B0000}"/>
    <cellStyle name="Currency 3 2 4 10" xfId="8863" xr:uid="{B1619054-E791-40B6-AE55-8274F34AF787}"/>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7AF381FF-3904-4172-836C-92EBC29D703E}"/>
    <cellStyle name="Currency 3 2 4 2 2 3" xfId="11422" xr:uid="{BCA66FC0-28AE-4BC5-B726-65598ED5A3E1}"/>
    <cellStyle name="Currency 3 2 4 2 3" xfId="5053" xr:uid="{00000000-0005-0000-0000-0000300B0000}"/>
    <cellStyle name="Currency 3 2 4 2 3 2" xfId="13495" xr:uid="{6983CBAC-3E6A-44CE-810D-C561DA46BB58}"/>
    <cellStyle name="Currency 3 2 4 2 4" xfId="9277" xr:uid="{E1599E32-0522-4E87-9C19-CFD7CF48A339}"/>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D30A41C4-2075-4BB0-A315-DADE93383EF3}"/>
    <cellStyle name="Currency 3 2 4 3 2 3" xfId="11835" xr:uid="{803F0DEB-56BE-4425-A43A-C630B742B360}"/>
    <cellStyle name="Currency 3 2 4 3 3" xfId="5466" xr:uid="{00000000-0005-0000-0000-0000340B0000}"/>
    <cellStyle name="Currency 3 2 4 3 3 2" xfId="13908" xr:uid="{18429FAD-CFE2-4684-84CF-966AFF70CEB5}"/>
    <cellStyle name="Currency 3 2 4 3 4" xfId="9690" xr:uid="{42FF40BE-1FB7-4A8E-B315-D167E9B46124}"/>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4CC01683-67A7-4233-9E5E-459804645CD5}"/>
    <cellStyle name="Currency 3 2 4 4 2 3" xfId="12248" xr:uid="{F90239D9-D7F4-4B7E-82FA-0F3E60350C16}"/>
    <cellStyle name="Currency 3 2 4 4 3" xfId="5879" xr:uid="{00000000-0005-0000-0000-0000380B0000}"/>
    <cellStyle name="Currency 3 2 4 4 3 2" xfId="14321" xr:uid="{41FE7A15-24BC-4007-B13F-28BEB5CFC6FC}"/>
    <cellStyle name="Currency 3 2 4 4 4" xfId="10103" xr:uid="{1AF91DA8-5088-45FB-9D1E-8C001472B137}"/>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31594529-9A8B-4940-B1EC-A3AB20C39ABB}"/>
    <cellStyle name="Currency 3 2 4 5 2 3" xfId="12661" xr:uid="{7A8BC4F5-DAB4-4BD9-8A93-0B3F0F32DA08}"/>
    <cellStyle name="Currency 3 2 4 5 3" xfId="6292" xr:uid="{00000000-0005-0000-0000-00003C0B0000}"/>
    <cellStyle name="Currency 3 2 4 5 3 2" xfId="14734" xr:uid="{56A24417-997A-40D2-AE69-E6B4F42D0158}"/>
    <cellStyle name="Currency 3 2 4 5 4" xfId="10516" xr:uid="{C7081BFF-88F1-474C-80AB-EEBCE58487FF}"/>
    <cellStyle name="Currency 3 2 4 6" xfId="2420" xr:uid="{00000000-0005-0000-0000-00003D0B0000}"/>
    <cellStyle name="Currency 3 2 4 6 2" xfId="6705" xr:uid="{00000000-0005-0000-0000-00003E0B0000}"/>
    <cellStyle name="Currency 3 2 4 6 2 2" xfId="15147" xr:uid="{D8854D07-9264-4EAB-8B7C-E3A17737697E}"/>
    <cellStyle name="Currency 3 2 4 6 3" xfId="10929" xr:uid="{6764C2B5-3A10-4745-AD84-D96DEAC4AC42}"/>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1C99BAC6-0966-4F8E-AC40-A692EA54A485}"/>
    <cellStyle name="Currency 3 2 4 8 3" xfId="11246" xr:uid="{3A3DF61F-DBCD-466D-BC0B-438FE22531AA}"/>
    <cellStyle name="Currency 3 2 4 9" xfId="4639" xr:uid="{00000000-0005-0000-0000-0000420B0000}"/>
    <cellStyle name="Currency 3 2 4 9 2" xfId="13081" xr:uid="{AF7090F5-811D-4794-ACEE-3F91EC137AA2}"/>
    <cellStyle name="Currency 3 2 5" xfId="185" xr:uid="{00000000-0005-0000-0000-0000430B0000}"/>
    <cellStyle name="Currency 3 2 5 10" xfId="8864" xr:uid="{D1AEED28-9779-4D3A-841B-93B6AF434236}"/>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51C4D858-C948-4D96-9A24-F1190F283B58}"/>
    <cellStyle name="Currency 3 2 5 2 2 3" xfId="11423" xr:uid="{25D8A373-C1EE-4B31-95B1-28A7FC340E7B}"/>
    <cellStyle name="Currency 3 2 5 2 3" xfId="5054" xr:uid="{00000000-0005-0000-0000-0000470B0000}"/>
    <cellStyle name="Currency 3 2 5 2 3 2" xfId="13496" xr:uid="{F6BB27C8-E7A2-4E16-8D7D-781BB38E3AA8}"/>
    <cellStyle name="Currency 3 2 5 2 4" xfId="9278" xr:uid="{115C4950-1C07-4036-832F-B07D02DA9FFD}"/>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FFC0DD07-2235-4685-A8A3-D80BAEE68597}"/>
    <cellStyle name="Currency 3 2 5 3 2 3" xfId="11836" xr:uid="{4BA574AD-40B9-4127-9311-7976DB5F0449}"/>
    <cellStyle name="Currency 3 2 5 3 3" xfId="5467" xr:uid="{00000000-0005-0000-0000-00004B0B0000}"/>
    <cellStyle name="Currency 3 2 5 3 3 2" xfId="13909" xr:uid="{76784954-5567-4070-BA22-FDC04C35439F}"/>
    <cellStyle name="Currency 3 2 5 3 4" xfId="9691" xr:uid="{5D551EF7-16DB-4312-8AC2-05EA9FD116A1}"/>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1CD3C117-4230-4DDE-9F6A-57A4CE6FB2BE}"/>
    <cellStyle name="Currency 3 2 5 4 2 3" xfId="12249" xr:uid="{2875E0EE-01EF-4D6F-B6D6-30ACB2AC6EA8}"/>
    <cellStyle name="Currency 3 2 5 4 3" xfId="5880" xr:uid="{00000000-0005-0000-0000-00004F0B0000}"/>
    <cellStyle name="Currency 3 2 5 4 3 2" xfId="14322" xr:uid="{621663C4-56EE-4080-87E3-5D8545389F40}"/>
    <cellStyle name="Currency 3 2 5 4 4" xfId="10104" xr:uid="{DB86CFC0-B0F5-4C7B-978A-2C46B26B9C53}"/>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703BD207-8D9D-455C-B399-CF2C96940FA1}"/>
    <cellStyle name="Currency 3 2 5 5 2 3" xfId="12662" xr:uid="{A15E0977-B718-4ABA-90D7-60D7D46151DE}"/>
    <cellStyle name="Currency 3 2 5 5 3" xfId="6293" xr:uid="{00000000-0005-0000-0000-0000530B0000}"/>
    <cellStyle name="Currency 3 2 5 5 3 2" xfId="14735" xr:uid="{270453A4-309F-4787-9AB6-2A121E9BF00E}"/>
    <cellStyle name="Currency 3 2 5 5 4" xfId="10517" xr:uid="{DEE28707-CBAD-4789-8688-56CD722FF8E0}"/>
    <cellStyle name="Currency 3 2 5 6" xfId="2421" xr:uid="{00000000-0005-0000-0000-0000540B0000}"/>
    <cellStyle name="Currency 3 2 5 6 2" xfId="6706" xr:uid="{00000000-0005-0000-0000-0000550B0000}"/>
    <cellStyle name="Currency 3 2 5 6 2 2" xfId="15148" xr:uid="{A04CE647-C2FB-470E-8E88-0F069249B548}"/>
    <cellStyle name="Currency 3 2 5 6 3" xfId="10930" xr:uid="{04C1F700-45BF-4B86-99F5-E18103815503}"/>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3D6A8C57-D215-4C1D-8E9D-5CC13CB8EA94}"/>
    <cellStyle name="Currency 3 2 5 8 3" xfId="11247" xr:uid="{B2AF17FE-31F5-4F2B-A514-B8C42B47D6C1}"/>
    <cellStyle name="Currency 3 2 5 9" xfId="4640" xr:uid="{00000000-0005-0000-0000-0000590B0000}"/>
    <cellStyle name="Currency 3 2 5 9 2" xfId="13082" xr:uid="{EBDB2762-8471-4D73-835B-F174E49B0069}"/>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1ABEAB56-50C3-4993-A86B-304C701DB9C1}"/>
    <cellStyle name="Currency 5 2 2 2 10 3" xfId="11248" xr:uid="{5FD70F28-B9F3-4CC3-A615-86159E05A34D}"/>
    <cellStyle name="Currency 5 2 2 2 11" xfId="4641" xr:uid="{00000000-0005-0000-0000-00006C0B0000}"/>
    <cellStyle name="Currency 5 2 2 2 11 2" xfId="13083" xr:uid="{E692F8B9-2940-4843-ADBD-5710A0AEFEEE}"/>
    <cellStyle name="Currency 5 2 2 2 12" xfId="8865" xr:uid="{7D1A0995-D4C8-4339-9575-7840A8C88403}"/>
    <cellStyle name="Currency 5 2 2 2 2" xfId="197" xr:uid="{00000000-0005-0000-0000-00006D0B0000}"/>
    <cellStyle name="Currency 5 2 2 2 2 10" xfId="4642" xr:uid="{00000000-0005-0000-0000-00006E0B0000}"/>
    <cellStyle name="Currency 5 2 2 2 2 10 2" xfId="13084" xr:uid="{9B68F715-7C76-49C0-B06D-BF2EA9854B2E}"/>
    <cellStyle name="Currency 5 2 2 2 2 11" xfId="8866" xr:uid="{EC4DBA99-FF47-4C6F-A645-A87F1193FA39}"/>
    <cellStyle name="Currency 5 2 2 2 2 2" xfId="198" xr:uid="{00000000-0005-0000-0000-00006F0B0000}"/>
    <cellStyle name="Currency 5 2 2 2 2 2 10" xfId="8867" xr:uid="{71843388-DD23-4226-9E1A-73951918D556}"/>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4E97DF57-44ED-4DAC-B587-3904E1DBA8B1}"/>
    <cellStyle name="Currency 5 2 2 2 2 2 2 2 3" xfId="11426" xr:uid="{AE7958CF-030E-4D14-AE42-9C6F1F95B5EF}"/>
    <cellStyle name="Currency 5 2 2 2 2 2 2 3" xfId="5057" xr:uid="{00000000-0005-0000-0000-0000730B0000}"/>
    <cellStyle name="Currency 5 2 2 2 2 2 2 3 2" xfId="13499" xr:uid="{43795D66-35BB-4784-96D9-BCE39A1FA11C}"/>
    <cellStyle name="Currency 5 2 2 2 2 2 2 4" xfId="9281" xr:uid="{D0BB6DE1-1B13-43D5-A3CF-75A907EFDA71}"/>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96918E24-FD52-4422-9BC1-37E3ECE6230F}"/>
    <cellStyle name="Currency 5 2 2 2 2 2 3 2 3" xfId="11839" xr:uid="{93026140-F062-4D71-8558-E4217A9E6326}"/>
    <cellStyle name="Currency 5 2 2 2 2 2 3 3" xfId="5470" xr:uid="{00000000-0005-0000-0000-0000770B0000}"/>
    <cellStyle name="Currency 5 2 2 2 2 2 3 3 2" xfId="13912" xr:uid="{2F9F3D70-20DD-4B92-9E71-9FBCC2E0EB8D}"/>
    <cellStyle name="Currency 5 2 2 2 2 2 3 4" xfId="9694" xr:uid="{22659046-3317-4BD9-9415-360AD3550F1C}"/>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605264E0-9484-4765-A122-3D9189878016}"/>
    <cellStyle name="Currency 5 2 2 2 2 2 4 2 3" xfId="12252" xr:uid="{D6887510-7975-443E-A633-F0D7B09458FB}"/>
    <cellStyle name="Currency 5 2 2 2 2 2 4 3" xfId="5883" xr:uid="{00000000-0005-0000-0000-00007B0B0000}"/>
    <cellStyle name="Currency 5 2 2 2 2 2 4 3 2" xfId="14325" xr:uid="{7B846B34-780A-4153-869B-013FE02DDA9C}"/>
    <cellStyle name="Currency 5 2 2 2 2 2 4 4" xfId="10107" xr:uid="{62BD98E3-E753-480B-81B6-5599684F223B}"/>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8D4A68C7-DAE5-44ED-82FC-2D1CDACC49E6}"/>
    <cellStyle name="Currency 5 2 2 2 2 2 5 2 3" xfId="12665" xr:uid="{B2A6A08B-95CC-472C-A51F-9EBF2616E83C}"/>
    <cellStyle name="Currency 5 2 2 2 2 2 5 3" xfId="6296" xr:uid="{00000000-0005-0000-0000-00007F0B0000}"/>
    <cellStyle name="Currency 5 2 2 2 2 2 5 3 2" xfId="14738" xr:uid="{A0C072F0-05EF-4DEB-A4EB-5B6BBF5129C4}"/>
    <cellStyle name="Currency 5 2 2 2 2 2 5 4" xfId="10520" xr:uid="{D80EB54C-27F8-47CD-947D-08C32BBCA46A}"/>
    <cellStyle name="Currency 5 2 2 2 2 2 6" xfId="2424" xr:uid="{00000000-0005-0000-0000-0000800B0000}"/>
    <cellStyle name="Currency 5 2 2 2 2 2 6 2" xfId="6709" xr:uid="{00000000-0005-0000-0000-0000810B0000}"/>
    <cellStyle name="Currency 5 2 2 2 2 2 6 2 2" xfId="15151" xr:uid="{EAF54EE7-4FE1-4E67-B696-4F23B04681CD}"/>
    <cellStyle name="Currency 5 2 2 2 2 2 6 3" xfId="10933" xr:uid="{F3C1940A-D28B-4000-A41F-633E1A9C09FF}"/>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47F12768-1564-4828-B603-4E8642F29AEC}"/>
    <cellStyle name="Currency 5 2 2 2 2 2 8 3" xfId="11250" xr:uid="{9825BC1C-1B9F-45DC-8BC5-E078870F87DE}"/>
    <cellStyle name="Currency 5 2 2 2 2 2 9" xfId="4643" xr:uid="{00000000-0005-0000-0000-0000850B0000}"/>
    <cellStyle name="Currency 5 2 2 2 2 2 9 2" xfId="13085" xr:uid="{DFA6A183-6E40-46D5-B879-1A49D15685F1}"/>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0996FE11-6DE7-468A-8B0C-C7F9A76CE30A}"/>
    <cellStyle name="Currency 5 2 2 2 2 3 2 3" xfId="11425" xr:uid="{365EC54A-3754-42D2-8F64-30D0B97F9D89}"/>
    <cellStyle name="Currency 5 2 2 2 2 3 3" xfId="5056" xr:uid="{00000000-0005-0000-0000-0000890B0000}"/>
    <cellStyle name="Currency 5 2 2 2 2 3 3 2" xfId="13498" xr:uid="{BFDA1636-A5E6-4FBC-ABEF-6C55214FD137}"/>
    <cellStyle name="Currency 5 2 2 2 2 3 4" xfId="9280" xr:uid="{77102F14-38AF-42F5-8EF7-9C5332978EE1}"/>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9F603E19-B134-44F8-9E43-9D26261C070F}"/>
    <cellStyle name="Currency 5 2 2 2 2 4 2 3" xfId="11838" xr:uid="{9AA41610-4084-4AC2-B4B7-3FD8A48B81D7}"/>
    <cellStyle name="Currency 5 2 2 2 2 4 3" xfId="5469" xr:uid="{00000000-0005-0000-0000-00008D0B0000}"/>
    <cellStyle name="Currency 5 2 2 2 2 4 3 2" xfId="13911" xr:uid="{57756095-6DB4-45FE-A870-9D77DF66C059}"/>
    <cellStyle name="Currency 5 2 2 2 2 4 4" xfId="9693" xr:uid="{1B1C76A3-BB86-4FB8-85E2-27FB3BF92F8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B68EA1F2-E615-4F10-8E53-C862633107F6}"/>
    <cellStyle name="Currency 5 2 2 2 2 5 2 3" xfId="12251" xr:uid="{0D312A56-7EF5-4FA9-8AA2-21C43FD97B8E}"/>
    <cellStyle name="Currency 5 2 2 2 2 5 3" xfId="5882" xr:uid="{00000000-0005-0000-0000-0000910B0000}"/>
    <cellStyle name="Currency 5 2 2 2 2 5 3 2" xfId="14324" xr:uid="{A25D44EF-4560-4B09-B940-0944F45F79A3}"/>
    <cellStyle name="Currency 5 2 2 2 2 5 4" xfId="10106" xr:uid="{EAE231C8-D563-4433-A7B7-CC41F12E7F8D}"/>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71C39AF4-BCA6-4EFB-A82B-6937E73AF2B4}"/>
    <cellStyle name="Currency 5 2 2 2 2 6 2 3" xfId="12664" xr:uid="{B81C09A5-CCBB-446E-8D73-E1712998AAC0}"/>
    <cellStyle name="Currency 5 2 2 2 2 6 3" xfId="6295" xr:uid="{00000000-0005-0000-0000-0000950B0000}"/>
    <cellStyle name="Currency 5 2 2 2 2 6 3 2" xfId="14737" xr:uid="{DECF311B-DBC2-453F-8FF7-B9A7619925E3}"/>
    <cellStyle name="Currency 5 2 2 2 2 6 4" xfId="10519" xr:uid="{84E5DD0A-462E-45C2-B7B2-3A041E19AB0A}"/>
    <cellStyle name="Currency 5 2 2 2 2 7" xfId="2423" xr:uid="{00000000-0005-0000-0000-0000960B0000}"/>
    <cellStyle name="Currency 5 2 2 2 2 7 2" xfId="6708" xr:uid="{00000000-0005-0000-0000-0000970B0000}"/>
    <cellStyle name="Currency 5 2 2 2 2 7 2 2" xfId="15150" xr:uid="{3BABBA9A-DD6A-4A13-8798-5B7194339AD3}"/>
    <cellStyle name="Currency 5 2 2 2 2 7 3" xfId="10932" xr:uid="{CF3B2893-A3EB-4E91-9C29-9B2967471133}"/>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770F00EA-3E56-4E6A-8C00-0EB49A6BD79C}"/>
    <cellStyle name="Currency 5 2 2 2 2 9 3" xfId="11249" xr:uid="{16EC8AE1-075A-4108-A023-D3C19E7DF450}"/>
    <cellStyle name="Currency 5 2 2 2 3" xfId="199" xr:uid="{00000000-0005-0000-0000-00009B0B0000}"/>
    <cellStyle name="Currency 5 2 2 2 3 10" xfId="8868" xr:uid="{AE6B791B-6D6E-49BB-AFD4-B92340A74244}"/>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1DBC4F0B-D109-4CD3-847D-888C2CA3E904}"/>
    <cellStyle name="Currency 5 2 2 2 3 2 2 3" xfId="11427" xr:uid="{3E735C7A-4A50-4260-B3D7-730673C6E3B8}"/>
    <cellStyle name="Currency 5 2 2 2 3 2 3" xfId="5058" xr:uid="{00000000-0005-0000-0000-00009F0B0000}"/>
    <cellStyle name="Currency 5 2 2 2 3 2 3 2" xfId="13500" xr:uid="{6589780A-DBFC-4EB9-9CAE-428F2934C354}"/>
    <cellStyle name="Currency 5 2 2 2 3 2 4" xfId="9282" xr:uid="{E12AB775-EEB1-49B8-B133-C3EA84B6E2D7}"/>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2D658F3A-525B-432A-AF1F-D9EBEAFB7FC9}"/>
    <cellStyle name="Currency 5 2 2 2 3 3 2 3" xfId="11840" xr:uid="{A25DB871-A66A-4EF2-8291-1D98CEB1A352}"/>
    <cellStyle name="Currency 5 2 2 2 3 3 3" xfId="5471" xr:uid="{00000000-0005-0000-0000-0000A30B0000}"/>
    <cellStyle name="Currency 5 2 2 2 3 3 3 2" xfId="13913" xr:uid="{81AB80A2-ABB8-4717-9797-1CBA6C869D58}"/>
    <cellStyle name="Currency 5 2 2 2 3 3 4" xfId="9695" xr:uid="{AAC3C19F-ABC7-496F-B8AA-C273A4BE0BCB}"/>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058A3699-DE99-4CE9-8545-765C68E36F47}"/>
    <cellStyle name="Currency 5 2 2 2 3 4 2 3" xfId="12253" xr:uid="{C9EFAAFA-AE90-49F5-8D69-EE3D5310DD7E}"/>
    <cellStyle name="Currency 5 2 2 2 3 4 3" xfId="5884" xr:uid="{00000000-0005-0000-0000-0000A70B0000}"/>
    <cellStyle name="Currency 5 2 2 2 3 4 3 2" xfId="14326" xr:uid="{5268C7FA-B321-4977-9A15-B22A638AEDF7}"/>
    <cellStyle name="Currency 5 2 2 2 3 4 4" xfId="10108" xr:uid="{4FC2759D-1953-4FE5-8258-8A10589E3238}"/>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7FD279E3-D076-4FE6-8F44-4E42B21311A9}"/>
    <cellStyle name="Currency 5 2 2 2 3 5 2 3" xfId="12666" xr:uid="{B0039902-144F-4B90-9048-28E7650DC589}"/>
    <cellStyle name="Currency 5 2 2 2 3 5 3" xfId="6297" xr:uid="{00000000-0005-0000-0000-0000AB0B0000}"/>
    <cellStyle name="Currency 5 2 2 2 3 5 3 2" xfId="14739" xr:uid="{EA3CDD41-A3A8-49D6-81E2-4230BF2116C2}"/>
    <cellStyle name="Currency 5 2 2 2 3 5 4" xfId="10521" xr:uid="{0AEA060F-FA6E-4136-84EF-7E9DA0739E5D}"/>
    <cellStyle name="Currency 5 2 2 2 3 6" xfId="2425" xr:uid="{00000000-0005-0000-0000-0000AC0B0000}"/>
    <cellStyle name="Currency 5 2 2 2 3 6 2" xfId="6710" xr:uid="{00000000-0005-0000-0000-0000AD0B0000}"/>
    <cellStyle name="Currency 5 2 2 2 3 6 2 2" xfId="15152" xr:uid="{5B82D615-AC47-467E-91D2-6237346D126F}"/>
    <cellStyle name="Currency 5 2 2 2 3 6 3" xfId="10934" xr:uid="{1A279A35-43F4-4CAC-A613-CE5045F698B3}"/>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4F7A911B-68AE-4706-AEEF-79A2E856C0C0}"/>
    <cellStyle name="Currency 5 2 2 2 3 8 3" xfId="11251" xr:uid="{78EA1F65-94C6-48EC-830B-1A8A37AFB0EC}"/>
    <cellStyle name="Currency 5 2 2 2 3 9" xfId="4644" xr:uid="{00000000-0005-0000-0000-0000B10B0000}"/>
    <cellStyle name="Currency 5 2 2 2 3 9 2" xfId="13086" xr:uid="{85666F36-F46F-4D29-939B-D5001B2E5F1A}"/>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B51A29BA-98C1-426C-BCC5-A61F116D3B7B}"/>
    <cellStyle name="Currency 5 2 2 2 4 2 3" xfId="11424" xr:uid="{C106415C-7032-4200-97FF-95294EA560EC}"/>
    <cellStyle name="Currency 5 2 2 2 4 3" xfId="5055" xr:uid="{00000000-0005-0000-0000-0000B50B0000}"/>
    <cellStyle name="Currency 5 2 2 2 4 3 2" xfId="13497" xr:uid="{E0815832-EA50-4077-A73D-1D4193F573C1}"/>
    <cellStyle name="Currency 5 2 2 2 4 4" xfId="9279" xr:uid="{0DC51D1F-A31A-4E01-B257-F49329408E6E}"/>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644A7E0A-40EF-4158-9F1C-902F5BF843D4}"/>
    <cellStyle name="Currency 5 2 2 2 5 2 3" xfId="11837" xr:uid="{3A238BA8-47E9-44E7-A3B2-23FD0A4D040D}"/>
    <cellStyle name="Currency 5 2 2 2 5 3" xfId="5468" xr:uid="{00000000-0005-0000-0000-0000B90B0000}"/>
    <cellStyle name="Currency 5 2 2 2 5 3 2" xfId="13910" xr:uid="{CE39EB94-82EB-465D-BCEC-3390319F1DBD}"/>
    <cellStyle name="Currency 5 2 2 2 5 4" xfId="9692" xr:uid="{AB19A7F6-2DFD-4B23-8719-485D6F40956A}"/>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798B3FA2-9937-4BD0-B59D-EE1378C4AE08}"/>
    <cellStyle name="Currency 5 2 2 2 6 2 3" xfId="12250" xr:uid="{DFEF7C5D-6AF4-48C3-BFF9-ACF6A3C99ABC}"/>
    <cellStyle name="Currency 5 2 2 2 6 3" xfId="5881" xr:uid="{00000000-0005-0000-0000-0000BD0B0000}"/>
    <cellStyle name="Currency 5 2 2 2 6 3 2" xfId="14323" xr:uid="{59223E9D-34F1-4A1E-9815-0263D460E47F}"/>
    <cellStyle name="Currency 5 2 2 2 6 4" xfId="10105" xr:uid="{A6196977-0D4F-4F2D-9C13-5656ECEF54DC}"/>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0A6319C3-06D8-4BC8-93EF-BEA216F3FA22}"/>
    <cellStyle name="Currency 5 2 2 2 7 2 3" xfId="12663" xr:uid="{6B190A8A-1ABD-42F5-85C1-6B3FD4493A32}"/>
    <cellStyle name="Currency 5 2 2 2 7 3" xfId="6294" xr:uid="{00000000-0005-0000-0000-0000C10B0000}"/>
    <cellStyle name="Currency 5 2 2 2 7 3 2" xfId="14736" xr:uid="{9819A7A9-2A43-40D6-988F-9C7172465619}"/>
    <cellStyle name="Currency 5 2 2 2 7 4" xfId="10518" xr:uid="{B7109F25-D302-4C28-92A9-16990BB197EB}"/>
    <cellStyle name="Currency 5 2 2 2 8" xfId="2422" xr:uid="{00000000-0005-0000-0000-0000C20B0000}"/>
    <cellStyle name="Currency 5 2 2 2 8 2" xfId="6707" xr:uid="{00000000-0005-0000-0000-0000C30B0000}"/>
    <cellStyle name="Currency 5 2 2 2 8 2 2" xfId="15149" xr:uid="{9E505283-114D-4552-A38E-C57AFEAD61EE}"/>
    <cellStyle name="Currency 5 2 2 2 8 3" xfId="10931" xr:uid="{F9010C6E-0E9F-4AC8-A079-FED880DD3178}"/>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DF0EE744-468C-4BE3-BF9C-03AE98E5C261}"/>
    <cellStyle name="Currency 5 2 2 3 11" xfId="8869" xr:uid="{2EBC4DE0-C500-417B-AFFD-CA39A61D1552}"/>
    <cellStyle name="Currency 5 2 2 3 2" xfId="201" xr:uid="{00000000-0005-0000-0000-0000C70B0000}"/>
    <cellStyle name="Currency 5 2 2 3 2 10" xfId="8870" xr:uid="{EB66F3FB-B7E2-4AC6-AEE3-B4CDC0A565D7}"/>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E797F0C0-8906-4C57-86A1-B7A2C74A27D8}"/>
    <cellStyle name="Currency 5 2 2 3 2 2 2 3" xfId="11429" xr:uid="{E3646DBD-A9BF-4293-B91E-89113893696F}"/>
    <cellStyle name="Currency 5 2 2 3 2 2 3" xfId="5060" xr:uid="{00000000-0005-0000-0000-0000CB0B0000}"/>
    <cellStyle name="Currency 5 2 2 3 2 2 3 2" xfId="13502" xr:uid="{76D293A5-C6FE-4743-BBD3-C21965136A1C}"/>
    <cellStyle name="Currency 5 2 2 3 2 2 4" xfId="9284" xr:uid="{D5BF4D5F-E4AC-4FEA-96EB-AF06A0367E9E}"/>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3992D0BA-2AED-4178-B69B-DFD3B6CCDE10}"/>
    <cellStyle name="Currency 5 2 2 3 2 3 2 3" xfId="11842" xr:uid="{8726C5C9-143F-474B-B27C-6BAB0B19B28B}"/>
    <cellStyle name="Currency 5 2 2 3 2 3 3" xfId="5473" xr:uid="{00000000-0005-0000-0000-0000CF0B0000}"/>
    <cellStyle name="Currency 5 2 2 3 2 3 3 2" xfId="13915" xr:uid="{36CA14B9-B87F-4A66-AD77-E2CE832A3B1A}"/>
    <cellStyle name="Currency 5 2 2 3 2 3 4" xfId="9697" xr:uid="{4489C468-5A67-4446-9B9C-B534873DE2A5}"/>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A7B0773D-F561-4CE1-A013-79392D88D8C0}"/>
    <cellStyle name="Currency 5 2 2 3 2 4 2 3" xfId="12255" xr:uid="{8538A07D-B77A-45DF-8A7E-5CD9382DC7E7}"/>
    <cellStyle name="Currency 5 2 2 3 2 4 3" xfId="5886" xr:uid="{00000000-0005-0000-0000-0000D30B0000}"/>
    <cellStyle name="Currency 5 2 2 3 2 4 3 2" xfId="14328" xr:uid="{7975D4F2-71F1-4726-B34B-09EDAB61BD6E}"/>
    <cellStyle name="Currency 5 2 2 3 2 4 4" xfId="10110" xr:uid="{1E04FAD6-FBA9-469C-B1E7-286DCFBDDD3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BB3D7BDC-3A81-499E-8F63-43F5568A6ADA}"/>
    <cellStyle name="Currency 5 2 2 3 2 5 2 3" xfId="12668" xr:uid="{4DF368A1-ACAC-45E4-9570-775019C55AD2}"/>
    <cellStyle name="Currency 5 2 2 3 2 5 3" xfId="6299" xr:uid="{00000000-0005-0000-0000-0000D70B0000}"/>
    <cellStyle name="Currency 5 2 2 3 2 5 3 2" xfId="14741" xr:uid="{CF5A1443-AF89-4865-9EEA-BDC130503A4A}"/>
    <cellStyle name="Currency 5 2 2 3 2 5 4" xfId="10523" xr:uid="{82E46399-13B5-42D8-8619-772F5122B405}"/>
    <cellStyle name="Currency 5 2 2 3 2 6" xfId="2427" xr:uid="{00000000-0005-0000-0000-0000D80B0000}"/>
    <cellStyle name="Currency 5 2 2 3 2 6 2" xfId="6712" xr:uid="{00000000-0005-0000-0000-0000D90B0000}"/>
    <cellStyle name="Currency 5 2 2 3 2 6 2 2" xfId="15154" xr:uid="{CDC26D99-90E0-4A47-8D08-3A26F755BE84}"/>
    <cellStyle name="Currency 5 2 2 3 2 6 3" xfId="10936" xr:uid="{12CD4325-E237-40AD-A91B-30D7C7D0E15C}"/>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DEB638D9-1226-481C-921F-29F3AA6B66FB}"/>
    <cellStyle name="Currency 5 2 2 3 2 8 3" xfId="11253" xr:uid="{A6A0DAB0-BFC8-4D2B-9545-63472E10B584}"/>
    <cellStyle name="Currency 5 2 2 3 2 9" xfId="4646" xr:uid="{00000000-0005-0000-0000-0000DD0B0000}"/>
    <cellStyle name="Currency 5 2 2 3 2 9 2" xfId="13088" xr:uid="{09A25325-09F5-40A9-A6F4-DC050D895EC4}"/>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D15F27BC-C53B-4EEF-BFF4-8C4AFC5CF008}"/>
    <cellStyle name="Currency 5 2 2 3 3 2 3" xfId="11428" xr:uid="{C1899542-DFA1-4719-8B27-96F4DA96928C}"/>
    <cellStyle name="Currency 5 2 2 3 3 3" xfId="5059" xr:uid="{00000000-0005-0000-0000-0000E10B0000}"/>
    <cellStyle name="Currency 5 2 2 3 3 3 2" xfId="13501" xr:uid="{16EBC678-9659-440E-AE0E-F066D2CE0AB8}"/>
    <cellStyle name="Currency 5 2 2 3 3 4" xfId="9283" xr:uid="{723BB163-27DC-4777-ABEF-BC2B59AADB28}"/>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C8D29391-22F6-4447-AD3F-CF8D97A38CE1}"/>
    <cellStyle name="Currency 5 2 2 3 4 2 3" xfId="11841" xr:uid="{39F6B3AD-89BB-4A2A-A11E-AA4F469E290C}"/>
    <cellStyle name="Currency 5 2 2 3 4 3" xfId="5472" xr:uid="{00000000-0005-0000-0000-0000E50B0000}"/>
    <cellStyle name="Currency 5 2 2 3 4 3 2" xfId="13914" xr:uid="{F3A8CF38-8E19-4CF8-BE25-EF0BD07665CA}"/>
    <cellStyle name="Currency 5 2 2 3 4 4" xfId="9696" xr:uid="{532D5A1F-ECF2-416F-A18D-24C339A015D1}"/>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5B798E4E-9E96-4D0E-B184-43FA547D746E}"/>
    <cellStyle name="Currency 5 2 2 3 5 2 3" xfId="12254" xr:uid="{634D9954-573D-489A-8F24-C6F144DAD7E4}"/>
    <cellStyle name="Currency 5 2 2 3 5 3" xfId="5885" xr:uid="{00000000-0005-0000-0000-0000E90B0000}"/>
    <cellStyle name="Currency 5 2 2 3 5 3 2" xfId="14327" xr:uid="{6ADC2573-828D-4A0B-9D57-50FC8E617FA3}"/>
    <cellStyle name="Currency 5 2 2 3 5 4" xfId="10109" xr:uid="{3B13F072-51E5-4E66-8A28-0D2D71FEC65B}"/>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84DBECB7-3F64-4890-9618-33D544D7C238}"/>
    <cellStyle name="Currency 5 2 2 3 6 2 3" xfId="12667" xr:uid="{6C18FBD0-5D50-4B03-8235-7890917F7E1A}"/>
    <cellStyle name="Currency 5 2 2 3 6 3" xfId="6298" xr:uid="{00000000-0005-0000-0000-0000ED0B0000}"/>
    <cellStyle name="Currency 5 2 2 3 6 3 2" xfId="14740" xr:uid="{1C215EEB-C78A-4D49-B7A6-A470BB425ACE}"/>
    <cellStyle name="Currency 5 2 2 3 6 4" xfId="10522" xr:uid="{DBD52C32-2697-47E8-8551-1E32AF948B35}"/>
    <cellStyle name="Currency 5 2 2 3 7" xfId="2426" xr:uid="{00000000-0005-0000-0000-0000EE0B0000}"/>
    <cellStyle name="Currency 5 2 2 3 7 2" xfId="6711" xr:uid="{00000000-0005-0000-0000-0000EF0B0000}"/>
    <cellStyle name="Currency 5 2 2 3 7 2 2" xfId="15153" xr:uid="{B52E60B4-50D8-4F26-B110-FF6CC9A803EE}"/>
    <cellStyle name="Currency 5 2 2 3 7 3" xfId="10935" xr:uid="{17FF9D1C-8B20-4CE6-87E2-54B8E3A51FBF}"/>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A375AD24-DE33-43D4-8111-71DFCC6E4869}"/>
    <cellStyle name="Currency 5 2 2 3 9 3" xfId="11252" xr:uid="{E6FF0739-1C4B-43D5-9D04-C2AAEC0F1145}"/>
    <cellStyle name="Currency 5 2 2 4" xfId="202" xr:uid="{00000000-0005-0000-0000-0000F30B0000}"/>
    <cellStyle name="Currency 5 2 2 4 10" xfId="8871" xr:uid="{E865FB25-5057-4ADD-8BAF-2E93F107A2A3}"/>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F3FF2A6E-21CE-4882-8EE5-AD3B02B38F22}"/>
    <cellStyle name="Currency 5 2 2 4 2 2 3" xfId="11430" xr:uid="{BCC1502C-0A52-4552-829F-0EEA2C123349}"/>
    <cellStyle name="Currency 5 2 2 4 2 3" xfId="5061" xr:uid="{00000000-0005-0000-0000-0000F70B0000}"/>
    <cellStyle name="Currency 5 2 2 4 2 3 2" xfId="13503" xr:uid="{F11E812A-938C-43DF-92DA-D16F1705C00E}"/>
    <cellStyle name="Currency 5 2 2 4 2 4" xfId="9285" xr:uid="{4560CE2E-3D27-4856-824E-E0A9306396BF}"/>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F1A3D630-68D6-48D6-9FE2-23485AA77F64}"/>
    <cellStyle name="Currency 5 2 2 4 3 2 3" xfId="11843" xr:uid="{E1F26860-569A-49CB-AD1A-DBBB0529F12C}"/>
    <cellStyle name="Currency 5 2 2 4 3 3" xfId="5474" xr:uid="{00000000-0005-0000-0000-0000FB0B0000}"/>
    <cellStyle name="Currency 5 2 2 4 3 3 2" xfId="13916" xr:uid="{B32B116B-5D23-4502-A430-DBE7F999D44D}"/>
    <cellStyle name="Currency 5 2 2 4 3 4" xfId="9698" xr:uid="{54C2982F-E3FF-4033-95A3-A1597D3C86D3}"/>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21FE1611-1143-4F68-82A1-5A006FFA58C6}"/>
    <cellStyle name="Currency 5 2 2 4 4 2 3" xfId="12256" xr:uid="{E8617508-BA59-45C5-B58D-511311D1E7BC}"/>
    <cellStyle name="Currency 5 2 2 4 4 3" xfId="5887" xr:uid="{00000000-0005-0000-0000-0000FF0B0000}"/>
    <cellStyle name="Currency 5 2 2 4 4 3 2" xfId="14329" xr:uid="{F43C2FD9-4BD3-4867-AF09-9FA04B182770}"/>
    <cellStyle name="Currency 5 2 2 4 4 4" xfId="10111" xr:uid="{3149B248-6976-4FD2-B4F3-909D17829C18}"/>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231C485F-056E-4AC4-9CC8-2747554254D7}"/>
    <cellStyle name="Currency 5 2 2 4 5 2 3" xfId="12669" xr:uid="{8CE7629F-F941-4823-9B24-D14559CC4945}"/>
    <cellStyle name="Currency 5 2 2 4 5 3" xfId="6300" xr:uid="{00000000-0005-0000-0000-0000030C0000}"/>
    <cellStyle name="Currency 5 2 2 4 5 3 2" xfId="14742" xr:uid="{8DB00BE1-2A1F-45BE-83F8-0B61ED1AC53D}"/>
    <cellStyle name="Currency 5 2 2 4 5 4" xfId="10524" xr:uid="{0047D2CE-07C1-4C2C-B4B5-4D6FECCD1705}"/>
    <cellStyle name="Currency 5 2 2 4 6" xfId="2428" xr:uid="{00000000-0005-0000-0000-0000040C0000}"/>
    <cellStyle name="Currency 5 2 2 4 6 2" xfId="6713" xr:uid="{00000000-0005-0000-0000-0000050C0000}"/>
    <cellStyle name="Currency 5 2 2 4 6 2 2" xfId="15155" xr:uid="{2B04C6FE-F83F-4334-A4C0-800BC12294E6}"/>
    <cellStyle name="Currency 5 2 2 4 6 3" xfId="10937" xr:uid="{D7EE499F-E29E-4DF2-B330-C74DFF0F8013}"/>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86F6CD4E-90F3-49AB-A01D-62E2A7AA8290}"/>
    <cellStyle name="Currency 5 2 2 4 8 3" xfId="11254" xr:uid="{52F17AF0-945C-41DF-AA48-3C5993965D1B}"/>
    <cellStyle name="Currency 5 2 2 4 9" xfId="4647" xr:uid="{00000000-0005-0000-0000-0000090C0000}"/>
    <cellStyle name="Currency 5 2 2 4 9 2" xfId="13089" xr:uid="{33DFC62B-8C77-4EFF-A217-316B7E2D8AB7}"/>
    <cellStyle name="Currency 5 2 2 5" xfId="203" xr:uid="{00000000-0005-0000-0000-00000A0C0000}"/>
    <cellStyle name="Currency 5 2 2 5 10" xfId="8872" xr:uid="{41F089D9-ABB6-4B93-ADF2-8BFCBA0AC0D2}"/>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080CD2EA-95E5-4ADC-9787-72B23B2755AB}"/>
    <cellStyle name="Currency 5 2 2 5 2 2 3" xfId="11431" xr:uid="{E3D979FF-966F-4BE8-BAB0-FE39F19D688B}"/>
    <cellStyle name="Currency 5 2 2 5 2 3" xfId="5062" xr:uid="{00000000-0005-0000-0000-00000E0C0000}"/>
    <cellStyle name="Currency 5 2 2 5 2 3 2" xfId="13504" xr:uid="{3DAE5CA2-8B58-4AC7-8C0F-D032C412EA38}"/>
    <cellStyle name="Currency 5 2 2 5 2 4" xfId="9286" xr:uid="{8DFC16BC-EEBE-40FB-A984-C2528913DF39}"/>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EBA20E43-AD72-42EE-931E-37271224E5F0}"/>
    <cellStyle name="Currency 5 2 2 5 3 2 3" xfId="11844" xr:uid="{51CB9964-E789-4D8D-BDCE-42AC78335801}"/>
    <cellStyle name="Currency 5 2 2 5 3 3" xfId="5475" xr:uid="{00000000-0005-0000-0000-0000120C0000}"/>
    <cellStyle name="Currency 5 2 2 5 3 3 2" xfId="13917" xr:uid="{7877C910-E820-448A-8496-EB1750360A5B}"/>
    <cellStyle name="Currency 5 2 2 5 3 4" xfId="9699" xr:uid="{789744A3-B445-481B-AD98-C0FF4914D0F1}"/>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7F08A0D5-E0F3-4D75-BA82-61F6B50A4712}"/>
    <cellStyle name="Currency 5 2 2 5 4 2 3" xfId="12257" xr:uid="{D50D5B9E-2552-4AAD-9148-1426DC0634D9}"/>
    <cellStyle name="Currency 5 2 2 5 4 3" xfId="5888" xr:uid="{00000000-0005-0000-0000-0000160C0000}"/>
    <cellStyle name="Currency 5 2 2 5 4 3 2" xfId="14330" xr:uid="{C77A4D13-0FCB-45B3-9A8C-AA0155A00ED9}"/>
    <cellStyle name="Currency 5 2 2 5 4 4" xfId="10112" xr:uid="{8AF366D2-58D1-4D7F-A9ED-2C39B4C5B226}"/>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95AF6BE4-D1D2-495F-845F-26986FCEF988}"/>
    <cellStyle name="Currency 5 2 2 5 5 2 3" xfId="12670" xr:uid="{573401FB-2B8C-48BB-A29E-11A03F928961}"/>
    <cellStyle name="Currency 5 2 2 5 5 3" xfId="6301" xr:uid="{00000000-0005-0000-0000-00001A0C0000}"/>
    <cellStyle name="Currency 5 2 2 5 5 3 2" xfId="14743" xr:uid="{1A4CACA5-D97E-4420-8F74-4E169544FA19}"/>
    <cellStyle name="Currency 5 2 2 5 5 4" xfId="10525" xr:uid="{27A1A1F3-4020-4D52-8DA6-697BA811D994}"/>
    <cellStyle name="Currency 5 2 2 5 6" xfId="2429" xr:uid="{00000000-0005-0000-0000-00001B0C0000}"/>
    <cellStyle name="Currency 5 2 2 5 6 2" xfId="6714" xr:uid="{00000000-0005-0000-0000-00001C0C0000}"/>
    <cellStyle name="Currency 5 2 2 5 6 2 2" xfId="15156" xr:uid="{F15605AC-5AFE-4FAB-856C-9924F36667B2}"/>
    <cellStyle name="Currency 5 2 2 5 6 3" xfId="10938" xr:uid="{C8F5DE33-6F5E-402E-8FCF-D1091D216964}"/>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E46571EF-77B0-4B3C-B45F-005111AD1C9A}"/>
    <cellStyle name="Currency 5 2 2 5 8 3" xfId="11255" xr:uid="{443087B5-047B-4ABB-B027-36378C4B0266}"/>
    <cellStyle name="Currency 5 2 2 5 9" xfId="4648" xr:uid="{00000000-0005-0000-0000-0000200C0000}"/>
    <cellStyle name="Currency 5 2 2 5 9 2" xfId="13090" xr:uid="{8E8D4F6C-1BA8-4E8D-A903-F12A3C63197E}"/>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F8EFEBBA-B5EB-4CD2-AC9E-3A27186431A0}"/>
    <cellStyle name="Currency 5 2 4 11" xfId="8873" xr:uid="{A982F15B-EC8A-41E7-B976-180F2537319E}"/>
    <cellStyle name="Currency 5 2 4 2" xfId="206" xr:uid="{00000000-0005-0000-0000-0000250C0000}"/>
    <cellStyle name="Currency 5 2 4 2 10" xfId="8874" xr:uid="{40F38540-19ED-405D-9178-F240ADF1E842}"/>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F4F04B16-5CD2-4221-B8C2-FA9CB67F5356}"/>
    <cellStyle name="Currency 5 2 4 2 2 2 3" xfId="11433" xr:uid="{7503E441-6213-4EEF-9E96-1483D32A607A}"/>
    <cellStyle name="Currency 5 2 4 2 2 3" xfId="5064" xr:uid="{00000000-0005-0000-0000-0000290C0000}"/>
    <cellStyle name="Currency 5 2 4 2 2 3 2" xfId="13506" xr:uid="{A23C6AE2-CFCA-4C37-AA99-FA138BBBF0AB}"/>
    <cellStyle name="Currency 5 2 4 2 2 4" xfId="9288" xr:uid="{95F00762-C420-4282-A83D-C7943B511EED}"/>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5D5386AF-F63C-48C1-AAE1-BC477C058956}"/>
    <cellStyle name="Currency 5 2 4 2 3 2 3" xfId="11846" xr:uid="{5F63E7FE-5FF1-45DD-BCB3-C0E4686A62CE}"/>
    <cellStyle name="Currency 5 2 4 2 3 3" xfId="5477" xr:uid="{00000000-0005-0000-0000-00002D0C0000}"/>
    <cellStyle name="Currency 5 2 4 2 3 3 2" xfId="13919" xr:uid="{85C04C80-0460-4307-AE2E-32DF4E9E7E60}"/>
    <cellStyle name="Currency 5 2 4 2 3 4" xfId="9701" xr:uid="{2A3F44CA-0434-4219-8B43-FA56C08D782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F2689D62-2DFA-48F7-8B4D-E0E984EEC09E}"/>
    <cellStyle name="Currency 5 2 4 2 4 2 3" xfId="12259" xr:uid="{63044EFB-4561-4455-9123-54A9674226C3}"/>
    <cellStyle name="Currency 5 2 4 2 4 3" xfId="5890" xr:uid="{00000000-0005-0000-0000-0000310C0000}"/>
    <cellStyle name="Currency 5 2 4 2 4 3 2" xfId="14332" xr:uid="{33F40722-ECD4-4130-B16E-CFA25681C634}"/>
    <cellStyle name="Currency 5 2 4 2 4 4" xfId="10114" xr:uid="{A6BC5C21-6ECE-4E1B-800B-B3F11193D1BE}"/>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BE2623B8-4B31-4500-A4D3-384190365D3D}"/>
    <cellStyle name="Currency 5 2 4 2 5 2 3" xfId="12672" xr:uid="{D1B95DD9-5666-4DB9-85C6-5036E59E5E56}"/>
    <cellStyle name="Currency 5 2 4 2 5 3" xfId="6303" xr:uid="{00000000-0005-0000-0000-0000350C0000}"/>
    <cellStyle name="Currency 5 2 4 2 5 3 2" xfId="14745" xr:uid="{0C342CAD-689F-4CC3-996C-54AE5AE567E4}"/>
    <cellStyle name="Currency 5 2 4 2 5 4" xfId="10527" xr:uid="{0802AA11-4E9A-403C-BBCC-C05B2EC2D379}"/>
    <cellStyle name="Currency 5 2 4 2 6" xfId="2431" xr:uid="{00000000-0005-0000-0000-0000360C0000}"/>
    <cellStyle name="Currency 5 2 4 2 6 2" xfId="6716" xr:uid="{00000000-0005-0000-0000-0000370C0000}"/>
    <cellStyle name="Currency 5 2 4 2 6 2 2" xfId="15158" xr:uid="{E51B6D6C-9CC0-47E6-9F9A-F64234A8A5C9}"/>
    <cellStyle name="Currency 5 2 4 2 6 3" xfId="10940" xr:uid="{A4D1B835-EF53-4470-94DE-04C88ACAD038}"/>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0898F6B5-A7CF-4578-9ECA-88A99695D51F}"/>
    <cellStyle name="Currency 5 2 4 2 8 3" xfId="11257" xr:uid="{25AD266D-292D-474F-A232-2FCBF1B50538}"/>
    <cellStyle name="Currency 5 2 4 2 9" xfId="4650" xr:uid="{00000000-0005-0000-0000-00003B0C0000}"/>
    <cellStyle name="Currency 5 2 4 2 9 2" xfId="13092" xr:uid="{706F2DBE-BD4A-4028-A38C-A4160BC9BE6D}"/>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1BAE1E48-8683-4FA1-A647-5FF96AA68B3E}"/>
    <cellStyle name="Currency 5 2 4 3 2 3" xfId="11432" xr:uid="{1129A9A1-2CBD-4DF5-9FDB-82C1C41E959A}"/>
    <cellStyle name="Currency 5 2 4 3 3" xfId="5063" xr:uid="{00000000-0005-0000-0000-00003F0C0000}"/>
    <cellStyle name="Currency 5 2 4 3 3 2" xfId="13505" xr:uid="{8BD45609-ECE6-4719-8AA0-F85DD9F05938}"/>
    <cellStyle name="Currency 5 2 4 3 4" xfId="9287" xr:uid="{9B8E8E6A-167A-424B-9ECE-DA17D7614D80}"/>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F1ADB413-CF08-4CD0-8CF3-B59ABABF950F}"/>
    <cellStyle name="Currency 5 2 4 4 2 3" xfId="11845" xr:uid="{89264204-583F-4BFA-BE44-231204AA62EB}"/>
    <cellStyle name="Currency 5 2 4 4 3" xfId="5476" xr:uid="{00000000-0005-0000-0000-0000430C0000}"/>
    <cellStyle name="Currency 5 2 4 4 3 2" xfId="13918" xr:uid="{A91621D6-6E8F-4689-8508-33A2FADB462A}"/>
    <cellStyle name="Currency 5 2 4 4 4" xfId="9700" xr:uid="{1D348FCA-D68D-4827-BD6E-54B6D9987311}"/>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D11B4EA6-3090-4F53-99CC-CBA5E14F23DA}"/>
    <cellStyle name="Currency 5 2 4 5 2 3" xfId="12258" xr:uid="{CF996552-7B04-4DB8-BE67-D8F07DBFF828}"/>
    <cellStyle name="Currency 5 2 4 5 3" xfId="5889" xr:uid="{00000000-0005-0000-0000-0000470C0000}"/>
    <cellStyle name="Currency 5 2 4 5 3 2" xfId="14331" xr:uid="{BCF7E38E-5E20-4649-A6CE-9ADD29BC66DB}"/>
    <cellStyle name="Currency 5 2 4 5 4" xfId="10113" xr:uid="{51C1022D-6035-4E31-8833-A5A6719B1E1A}"/>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2FB39DC3-6CAE-47EC-B63E-A9A9CD577B5D}"/>
    <cellStyle name="Currency 5 2 4 6 2 3" xfId="12671" xr:uid="{1EC5166B-8045-4983-A719-31CCA9E1D53F}"/>
    <cellStyle name="Currency 5 2 4 6 3" xfId="6302" xr:uid="{00000000-0005-0000-0000-00004B0C0000}"/>
    <cellStyle name="Currency 5 2 4 6 3 2" xfId="14744" xr:uid="{A362A735-7E20-4CB2-9D05-A705E618F998}"/>
    <cellStyle name="Currency 5 2 4 6 4" xfId="10526" xr:uid="{D7A6EBCF-E934-4666-B8C9-07558BE01E6E}"/>
    <cellStyle name="Currency 5 2 4 7" xfId="2430" xr:uid="{00000000-0005-0000-0000-00004C0C0000}"/>
    <cellStyle name="Currency 5 2 4 7 2" xfId="6715" xr:uid="{00000000-0005-0000-0000-00004D0C0000}"/>
    <cellStyle name="Currency 5 2 4 7 2 2" xfId="15157" xr:uid="{7E77DA86-1EEF-44C5-82BF-417778BF132E}"/>
    <cellStyle name="Currency 5 2 4 7 3" xfId="10939" xr:uid="{D2434DBD-65A7-4AD6-B866-7E594E8766B4}"/>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67E3E6D1-B23B-4C87-BAE8-764C719E4017}"/>
    <cellStyle name="Currency 5 2 4 9 3" xfId="11256" xr:uid="{CC010D78-62BA-4EE9-B705-4F0716ACC143}"/>
    <cellStyle name="Currency 5 2 5" xfId="207" xr:uid="{00000000-0005-0000-0000-0000510C0000}"/>
    <cellStyle name="Currency 5 2 5 10" xfId="8875" xr:uid="{A648933E-B8A5-421E-AF4F-C97A1197820E}"/>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E7B355D9-501A-49F1-A8DE-DC1B1B9A50E3}"/>
    <cellStyle name="Currency 5 2 5 2 2 3" xfId="11434" xr:uid="{E2B7F13D-2887-4B51-A6C6-233D82D26406}"/>
    <cellStyle name="Currency 5 2 5 2 3" xfId="5065" xr:uid="{00000000-0005-0000-0000-0000550C0000}"/>
    <cellStyle name="Currency 5 2 5 2 3 2" xfId="13507" xr:uid="{DFF91102-BC24-4226-9986-38E162BFB3E3}"/>
    <cellStyle name="Currency 5 2 5 2 4" xfId="9289" xr:uid="{3BE3BD5F-B312-4533-A5C2-DCA194D1DC15}"/>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5C9ABBBF-B377-4DD6-8BDC-30AE54769F84}"/>
    <cellStyle name="Currency 5 2 5 3 2 3" xfId="11847" xr:uid="{E1378D13-05CA-430C-803E-BB336933DF54}"/>
    <cellStyle name="Currency 5 2 5 3 3" xfId="5478" xr:uid="{00000000-0005-0000-0000-0000590C0000}"/>
    <cellStyle name="Currency 5 2 5 3 3 2" xfId="13920" xr:uid="{A495D2DE-89F4-4997-B746-301166A1CE9A}"/>
    <cellStyle name="Currency 5 2 5 3 4" xfId="9702" xr:uid="{8A35FB03-CFC5-4C6F-9085-24ECF0A6B001}"/>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9987DD91-B037-4E40-B83B-6163B63B6FE0}"/>
    <cellStyle name="Currency 5 2 5 4 2 3" xfId="12260" xr:uid="{1727FBAE-FC0F-4C42-AF12-007902C289F5}"/>
    <cellStyle name="Currency 5 2 5 4 3" xfId="5891" xr:uid="{00000000-0005-0000-0000-00005D0C0000}"/>
    <cellStyle name="Currency 5 2 5 4 3 2" xfId="14333" xr:uid="{A8270F40-D145-491A-A893-6BC66AE7713B}"/>
    <cellStyle name="Currency 5 2 5 4 4" xfId="10115" xr:uid="{7D1BF0C7-8746-41A7-AEE2-7A37A3F40095}"/>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1DBD0D07-F02A-4C3B-ACB6-D78A76C88A52}"/>
    <cellStyle name="Currency 5 2 5 5 2 3" xfId="12673" xr:uid="{C93F78B3-59D2-4646-B217-04CA3911CCD6}"/>
    <cellStyle name="Currency 5 2 5 5 3" xfId="6304" xr:uid="{00000000-0005-0000-0000-0000610C0000}"/>
    <cellStyle name="Currency 5 2 5 5 3 2" xfId="14746" xr:uid="{1BDDE662-4D1D-42FD-B535-D31A21098BC5}"/>
    <cellStyle name="Currency 5 2 5 5 4" xfId="10528" xr:uid="{779CE587-680A-4F5F-8AD9-7C11E47ABC8C}"/>
    <cellStyle name="Currency 5 2 5 6" xfId="2432" xr:uid="{00000000-0005-0000-0000-0000620C0000}"/>
    <cellStyle name="Currency 5 2 5 6 2" xfId="6717" xr:uid="{00000000-0005-0000-0000-0000630C0000}"/>
    <cellStyle name="Currency 5 2 5 6 2 2" xfId="15159" xr:uid="{CB7427DD-81CE-464B-83C3-0B50B631DC25}"/>
    <cellStyle name="Currency 5 2 5 6 3" xfId="10941" xr:uid="{24A0C4BC-142F-4A40-A814-B74B66414B9E}"/>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41638F3D-B795-41A4-B998-A7E605BF25C2}"/>
    <cellStyle name="Currency 5 2 5 8 3" xfId="11258" xr:uid="{F5CA0889-51CC-4B69-BEF9-5FF6F4C6BD62}"/>
    <cellStyle name="Currency 5 2 5 9" xfId="4651" xr:uid="{00000000-0005-0000-0000-0000670C0000}"/>
    <cellStyle name="Currency 5 2 5 9 2" xfId="13093" xr:uid="{1A21DC38-BBF2-4262-806B-A65F85DD688C}"/>
    <cellStyle name="Currency 5 2 6" xfId="208" xr:uid="{00000000-0005-0000-0000-0000680C0000}"/>
    <cellStyle name="Currency 5 2 6 10" xfId="8876" xr:uid="{36A15191-3DA5-44C2-9FCB-BEE7F3778433}"/>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76777CA3-C62A-411A-B28C-B3CC4A18CAA1}"/>
    <cellStyle name="Currency 5 2 6 2 2 3" xfId="11435" xr:uid="{0DFB5FB2-97C4-4B31-912A-1434663FBF45}"/>
    <cellStyle name="Currency 5 2 6 2 3" xfId="5066" xr:uid="{00000000-0005-0000-0000-00006C0C0000}"/>
    <cellStyle name="Currency 5 2 6 2 3 2" xfId="13508" xr:uid="{3F473F66-3F2C-4E82-A306-E2224C07E152}"/>
    <cellStyle name="Currency 5 2 6 2 4" xfId="9290" xr:uid="{4E2C445F-EBF9-4C17-BE80-4D174777F03E}"/>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96DDEEB7-9F15-4DEA-A159-9219040BDEFA}"/>
    <cellStyle name="Currency 5 2 6 3 2 3" xfId="11848" xr:uid="{4AC0973F-285F-47E9-958C-82D1AFE9E446}"/>
    <cellStyle name="Currency 5 2 6 3 3" xfId="5479" xr:uid="{00000000-0005-0000-0000-0000700C0000}"/>
    <cellStyle name="Currency 5 2 6 3 3 2" xfId="13921" xr:uid="{5AE6543E-F0E0-4F0A-8B3A-A4FDF7574E68}"/>
    <cellStyle name="Currency 5 2 6 3 4" xfId="9703" xr:uid="{BC1093FB-AAD3-47ED-9BA9-7AA3E82F0079}"/>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CC6AC7DA-E642-4CB1-AB6A-50AAF9DACBD6}"/>
    <cellStyle name="Currency 5 2 6 4 2 3" xfId="12261" xr:uid="{E0E8B25C-79FE-4F52-99AA-944E29E5C37C}"/>
    <cellStyle name="Currency 5 2 6 4 3" xfId="5892" xr:uid="{00000000-0005-0000-0000-0000740C0000}"/>
    <cellStyle name="Currency 5 2 6 4 3 2" xfId="14334" xr:uid="{A8339216-0E76-4ECE-BE72-5D57EF0857A9}"/>
    <cellStyle name="Currency 5 2 6 4 4" xfId="10116" xr:uid="{37752664-60B5-4B58-9761-003A253C5434}"/>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E77DAB30-0FC2-4FB8-88BC-7D57F52CC027}"/>
    <cellStyle name="Currency 5 2 6 5 2 3" xfId="12674" xr:uid="{133A162B-21BC-41D5-910B-8014E6DB2CCF}"/>
    <cellStyle name="Currency 5 2 6 5 3" xfId="6305" xr:uid="{00000000-0005-0000-0000-0000780C0000}"/>
    <cellStyle name="Currency 5 2 6 5 3 2" xfId="14747" xr:uid="{E16DCA09-85AC-492C-A124-E1DAF6D7FFF6}"/>
    <cellStyle name="Currency 5 2 6 5 4" xfId="10529" xr:uid="{C4C732EF-A6FA-4492-A7EC-17BB53D58925}"/>
    <cellStyle name="Currency 5 2 6 6" xfId="2433" xr:uid="{00000000-0005-0000-0000-0000790C0000}"/>
    <cellStyle name="Currency 5 2 6 6 2" xfId="6718" xr:uid="{00000000-0005-0000-0000-00007A0C0000}"/>
    <cellStyle name="Currency 5 2 6 6 2 2" xfId="15160" xr:uid="{0A903E22-BED1-46F9-80DA-7E9B7049469D}"/>
    <cellStyle name="Currency 5 2 6 6 3" xfId="10942" xr:uid="{BCD9438C-7E5E-4B46-9E4A-21E8BD844B96}"/>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D6FBF5E0-0B72-40C6-9CE8-6BE72583A055}"/>
    <cellStyle name="Currency 5 2 6 8 3" xfId="11259" xr:uid="{BA40B579-4940-48BC-A995-DE325A5D7AB2}"/>
    <cellStyle name="Currency 5 2 6 9" xfId="4652" xr:uid="{00000000-0005-0000-0000-00007E0C0000}"/>
    <cellStyle name="Currency 5 2 6 9 2" xfId="13094" xr:uid="{7D3D6382-CE9F-4225-B878-BD390388848E}"/>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4C36D88B-3423-42DF-BFC9-7CACBACC17FF}"/>
    <cellStyle name="Currency 5 3 2 10 3" xfId="11260" xr:uid="{3952D6B1-E42B-44DD-AA00-1F14E6764696}"/>
    <cellStyle name="Currency 5 3 2 11" xfId="4653" xr:uid="{00000000-0005-0000-0000-0000840C0000}"/>
    <cellStyle name="Currency 5 3 2 11 2" xfId="13095" xr:uid="{7198DC43-3AEF-410F-9D60-A9F32011227D}"/>
    <cellStyle name="Currency 5 3 2 12" xfId="8877" xr:uid="{CC83CC63-F8C9-4F67-AB38-059F59CAB859}"/>
    <cellStyle name="Currency 5 3 2 2" xfId="211" xr:uid="{00000000-0005-0000-0000-0000850C0000}"/>
    <cellStyle name="Currency 5 3 2 2 10" xfId="4654" xr:uid="{00000000-0005-0000-0000-0000860C0000}"/>
    <cellStyle name="Currency 5 3 2 2 10 2" xfId="13096" xr:uid="{84950AF2-82BE-4A8A-ABE2-30C66E5A46E2}"/>
    <cellStyle name="Currency 5 3 2 2 11" xfId="8878" xr:uid="{DF76D50A-17A8-4395-A2BE-D9E67FFFD2CA}"/>
    <cellStyle name="Currency 5 3 2 2 2" xfId="212" xr:uid="{00000000-0005-0000-0000-0000870C0000}"/>
    <cellStyle name="Currency 5 3 2 2 2 10" xfId="8879" xr:uid="{A4454AB6-B92C-4719-85D1-B467D7D3E1BD}"/>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33C63F79-5933-4465-98A4-302DADB9CD6E}"/>
    <cellStyle name="Currency 5 3 2 2 2 2 2 3" xfId="11438" xr:uid="{66A25A2C-172B-4DC2-942D-3B296E3FC554}"/>
    <cellStyle name="Currency 5 3 2 2 2 2 3" xfId="5069" xr:uid="{00000000-0005-0000-0000-00008B0C0000}"/>
    <cellStyle name="Currency 5 3 2 2 2 2 3 2" xfId="13511" xr:uid="{05AF21DD-B63A-4AA3-BC69-098072DCD47B}"/>
    <cellStyle name="Currency 5 3 2 2 2 2 4" xfId="9293" xr:uid="{F3D03913-1298-4371-821B-C9264DDEA019}"/>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1DC3C70F-F486-4D3D-8E39-9DAC80E15FBD}"/>
    <cellStyle name="Currency 5 3 2 2 2 3 2 3" xfId="11851" xr:uid="{B3E93924-3ACC-4CEB-AA01-3DB90EF134B2}"/>
    <cellStyle name="Currency 5 3 2 2 2 3 3" xfId="5482" xr:uid="{00000000-0005-0000-0000-00008F0C0000}"/>
    <cellStyle name="Currency 5 3 2 2 2 3 3 2" xfId="13924" xr:uid="{D1D56D82-D94E-4A5B-8C9A-FCB089FF10AA}"/>
    <cellStyle name="Currency 5 3 2 2 2 3 4" xfId="9706" xr:uid="{5E2BCDFF-2D73-4EFC-933E-9B75A39402E1}"/>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2F6003B0-CA22-4A2D-9383-64041CCF8F12}"/>
    <cellStyle name="Currency 5 3 2 2 2 4 2 3" xfId="12264" xr:uid="{33FEAD54-D6F6-4944-871D-B8EB9F1796C2}"/>
    <cellStyle name="Currency 5 3 2 2 2 4 3" xfId="5895" xr:uid="{00000000-0005-0000-0000-0000930C0000}"/>
    <cellStyle name="Currency 5 3 2 2 2 4 3 2" xfId="14337" xr:uid="{D4210F26-E92A-44F7-A241-364CA2B2E945}"/>
    <cellStyle name="Currency 5 3 2 2 2 4 4" xfId="10119" xr:uid="{85377A0A-084A-41C6-A572-00CEEB175B39}"/>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187CC0A2-B28D-48B6-B56A-A5E28768E330}"/>
    <cellStyle name="Currency 5 3 2 2 2 5 2 3" xfId="12677" xr:uid="{28FBE0A4-1937-49A6-A9C1-B6F864E7999F}"/>
    <cellStyle name="Currency 5 3 2 2 2 5 3" xfId="6308" xr:uid="{00000000-0005-0000-0000-0000970C0000}"/>
    <cellStyle name="Currency 5 3 2 2 2 5 3 2" xfId="14750" xr:uid="{D5087CB9-0759-4C5C-8614-424A6FE25530}"/>
    <cellStyle name="Currency 5 3 2 2 2 5 4" xfId="10532" xr:uid="{0FC212DE-3F64-4CA7-8F09-FE20B2CA9EE7}"/>
    <cellStyle name="Currency 5 3 2 2 2 6" xfId="2436" xr:uid="{00000000-0005-0000-0000-0000980C0000}"/>
    <cellStyle name="Currency 5 3 2 2 2 6 2" xfId="6721" xr:uid="{00000000-0005-0000-0000-0000990C0000}"/>
    <cellStyle name="Currency 5 3 2 2 2 6 2 2" xfId="15163" xr:uid="{50541703-8987-40DF-B956-C3A7809CA0E1}"/>
    <cellStyle name="Currency 5 3 2 2 2 6 3" xfId="10945" xr:uid="{57055251-B633-487F-A655-11B2A80CD84B}"/>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21E87E92-CA5C-4401-8DA3-AE811CE8A022}"/>
    <cellStyle name="Currency 5 3 2 2 2 8 3" xfId="11262" xr:uid="{624375FB-2F2B-42FB-A4F0-7E58802F7379}"/>
    <cellStyle name="Currency 5 3 2 2 2 9" xfId="4655" xr:uid="{00000000-0005-0000-0000-00009D0C0000}"/>
    <cellStyle name="Currency 5 3 2 2 2 9 2" xfId="13097" xr:uid="{8820FC3B-644A-4B38-ADB7-2389D562A2C8}"/>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D3FD5180-F356-408B-8A7E-39E006B2A5E0}"/>
    <cellStyle name="Currency 5 3 2 2 3 2 3" xfId="11437" xr:uid="{58798A43-F887-47B0-9E58-61DD2AEF8093}"/>
    <cellStyle name="Currency 5 3 2 2 3 3" xfId="5068" xr:uid="{00000000-0005-0000-0000-0000A10C0000}"/>
    <cellStyle name="Currency 5 3 2 2 3 3 2" xfId="13510" xr:uid="{75DD250A-345F-46A0-8CC2-0651FB785E51}"/>
    <cellStyle name="Currency 5 3 2 2 3 4" xfId="9292" xr:uid="{E84366F8-76C4-4509-8BD4-90A3C6766217}"/>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A4F9474C-788A-442B-8DFF-F01A23E63F30}"/>
    <cellStyle name="Currency 5 3 2 2 4 2 3" xfId="11850" xr:uid="{DB631DA7-97B7-425F-9CDE-188A7ED79F97}"/>
    <cellStyle name="Currency 5 3 2 2 4 3" xfId="5481" xr:uid="{00000000-0005-0000-0000-0000A50C0000}"/>
    <cellStyle name="Currency 5 3 2 2 4 3 2" xfId="13923" xr:uid="{CFA690E9-65ED-414E-985C-AC47D338B5B6}"/>
    <cellStyle name="Currency 5 3 2 2 4 4" xfId="9705" xr:uid="{22C23369-1E1B-491D-95E2-FD98D4ABCC76}"/>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0C3713E8-0D5F-4712-A64B-9A786EFD8A96}"/>
    <cellStyle name="Currency 5 3 2 2 5 2 3" xfId="12263" xr:uid="{0F6EF3FA-A04F-42A8-82E2-D28A809FAD23}"/>
    <cellStyle name="Currency 5 3 2 2 5 3" xfId="5894" xr:uid="{00000000-0005-0000-0000-0000A90C0000}"/>
    <cellStyle name="Currency 5 3 2 2 5 3 2" xfId="14336" xr:uid="{EBA1A1E0-BE6F-4755-9316-0795D74EDCA3}"/>
    <cellStyle name="Currency 5 3 2 2 5 4" xfId="10118" xr:uid="{D0940B7A-8DDE-4A87-8A2C-5AD9379FAFF6}"/>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3F1C5800-5EE7-4CF7-9563-7CDBC03579B6}"/>
    <cellStyle name="Currency 5 3 2 2 6 2 3" xfId="12676" xr:uid="{DB845045-254F-46A5-916D-C8C7A350E1A2}"/>
    <cellStyle name="Currency 5 3 2 2 6 3" xfId="6307" xr:uid="{00000000-0005-0000-0000-0000AD0C0000}"/>
    <cellStyle name="Currency 5 3 2 2 6 3 2" xfId="14749" xr:uid="{F734F630-3510-4AD2-AED2-6CEDDAAF8E58}"/>
    <cellStyle name="Currency 5 3 2 2 6 4" xfId="10531" xr:uid="{1AB07F45-0DD4-44F0-8B20-80C2FA924220}"/>
    <cellStyle name="Currency 5 3 2 2 7" xfId="2435" xr:uid="{00000000-0005-0000-0000-0000AE0C0000}"/>
    <cellStyle name="Currency 5 3 2 2 7 2" xfId="6720" xr:uid="{00000000-0005-0000-0000-0000AF0C0000}"/>
    <cellStyle name="Currency 5 3 2 2 7 2 2" xfId="15162" xr:uid="{55290B4A-571A-4A9D-BA00-A88C269EA2B2}"/>
    <cellStyle name="Currency 5 3 2 2 7 3" xfId="10944" xr:uid="{40578B41-4A23-46ED-B8DB-E01991118915}"/>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3B7E4313-316D-4A10-A985-980271A041CA}"/>
    <cellStyle name="Currency 5 3 2 2 9 3" xfId="11261" xr:uid="{49D73685-EA4E-4F5F-BB3D-F789C4683194}"/>
    <cellStyle name="Currency 5 3 2 3" xfId="213" xr:uid="{00000000-0005-0000-0000-0000B30C0000}"/>
    <cellStyle name="Currency 5 3 2 3 10" xfId="8880" xr:uid="{D6BFFA82-933F-43F1-A5FF-A09BACFDDF32}"/>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DA5CFF9A-DE16-4289-91C9-76CC4B6326AA}"/>
    <cellStyle name="Currency 5 3 2 3 2 2 3" xfId="11439" xr:uid="{D925DBF0-D7EC-4F81-B69D-37E8EDF2F31B}"/>
    <cellStyle name="Currency 5 3 2 3 2 3" xfId="5070" xr:uid="{00000000-0005-0000-0000-0000B70C0000}"/>
    <cellStyle name="Currency 5 3 2 3 2 3 2" xfId="13512" xr:uid="{BC15E9CB-5C6B-423A-A413-42220FC8FE29}"/>
    <cellStyle name="Currency 5 3 2 3 2 4" xfId="9294" xr:uid="{B9753866-44C7-480D-9565-9E88F2D0BB85}"/>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D817485F-6FBF-4D5F-AF69-40FDF6181F0B}"/>
    <cellStyle name="Currency 5 3 2 3 3 2 3" xfId="11852" xr:uid="{88CD1D58-CA96-4CCD-A052-57926E2A850B}"/>
    <cellStyle name="Currency 5 3 2 3 3 3" xfId="5483" xr:uid="{00000000-0005-0000-0000-0000BB0C0000}"/>
    <cellStyle name="Currency 5 3 2 3 3 3 2" xfId="13925" xr:uid="{7A17F8F4-DCE0-4645-A2C3-E79A6E77226A}"/>
    <cellStyle name="Currency 5 3 2 3 3 4" xfId="9707" xr:uid="{EE5307BD-197C-4BCB-A3C3-494D8D1C8F21}"/>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A30901F0-6AD6-4BDB-A6E3-FFCCFBD63945}"/>
    <cellStyle name="Currency 5 3 2 3 4 2 3" xfId="12265" xr:uid="{31F11B19-072B-491F-BD36-480D18D410C4}"/>
    <cellStyle name="Currency 5 3 2 3 4 3" xfId="5896" xr:uid="{00000000-0005-0000-0000-0000BF0C0000}"/>
    <cellStyle name="Currency 5 3 2 3 4 3 2" xfId="14338" xr:uid="{EF07E51E-EF7D-4D7E-9C2E-1DD086BCF90E}"/>
    <cellStyle name="Currency 5 3 2 3 4 4" xfId="10120" xr:uid="{301DA2ED-AFFA-44B3-858A-6B8C21EACC7F}"/>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DD6DDC62-67B6-4F5F-92FC-4834FA69F973}"/>
    <cellStyle name="Currency 5 3 2 3 5 2 3" xfId="12678" xr:uid="{1BCC1B93-ED51-4E2B-A681-1370DDC270A7}"/>
    <cellStyle name="Currency 5 3 2 3 5 3" xfId="6309" xr:uid="{00000000-0005-0000-0000-0000C30C0000}"/>
    <cellStyle name="Currency 5 3 2 3 5 3 2" xfId="14751" xr:uid="{47506530-A026-4D68-9178-C1794C0AF752}"/>
    <cellStyle name="Currency 5 3 2 3 5 4" xfId="10533" xr:uid="{907A2510-3FFE-47A6-BF9D-4EE2DB4F6466}"/>
    <cellStyle name="Currency 5 3 2 3 6" xfId="2437" xr:uid="{00000000-0005-0000-0000-0000C40C0000}"/>
    <cellStyle name="Currency 5 3 2 3 6 2" xfId="6722" xr:uid="{00000000-0005-0000-0000-0000C50C0000}"/>
    <cellStyle name="Currency 5 3 2 3 6 2 2" xfId="15164" xr:uid="{77F3FDF1-52A6-4A96-8195-9B65B3FE648E}"/>
    <cellStyle name="Currency 5 3 2 3 6 3" xfId="10946" xr:uid="{DF27EA27-A1E3-49EF-9E94-59D437EF8935}"/>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DC042207-54EF-4508-B574-FDB0EBE267F7}"/>
    <cellStyle name="Currency 5 3 2 3 8 3" xfId="11263" xr:uid="{5BCED01A-A561-4B20-87D5-A6DCE2A9658D}"/>
    <cellStyle name="Currency 5 3 2 3 9" xfId="4656" xr:uid="{00000000-0005-0000-0000-0000C90C0000}"/>
    <cellStyle name="Currency 5 3 2 3 9 2" xfId="13098" xr:uid="{9F0ED8E8-5B75-4230-86D7-2FDD544C6773}"/>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9941E875-F4B5-4E88-BFFB-FD04E11A928D}"/>
    <cellStyle name="Currency 5 3 2 4 2 3" xfId="11436" xr:uid="{5D66DCFB-50A9-4DD9-B069-B5C0B47874DF}"/>
    <cellStyle name="Currency 5 3 2 4 3" xfId="5067" xr:uid="{00000000-0005-0000-0000-0000CD0C0000}"/>
    <cellStyle name="Currency 5 3 2 4 3 2" xfId="13509" xr:uid="{75DC882E-C323-4F05-B990-D314AFB33F6B}"/>
    <cellStyle name="Currency 5 3 2 4 4" xfId="9291" xr:uid="{D10A9951-3813-4DD7-A075-8926B4FFD64F}"/>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537ADF5B-CB20-461F-A2E3-9C1EE4AF91BA}"/>
    <cellStyle name="Currency 5 3 2 5 2 3" xfId="11849" xr:uid="{D7D07611-3054-4D66-A753-AE27385B6CF7}"/>
    <cellStyle name="Currency 5 3 2 5 3" xfId="5480" xr:uid="{00000000-0005-0000-0000-0000D10C0000}"/>
    <cellStyle name="Currency 5 3 2 5 3 2" xfId="13922" xr:uid="{28EC6573-348A-40C5-B4F1-9A43F8D680FF}"/>
    <cellStyle name="Currency 5 3 2 5 4" xfId="9704" xr:uid="{05216026-414B-4B95-98CE-BB0F532043AB}"/>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AA9025F4-AE2B-4C8E-B4F8-A921D3A1C491}"/>
    <cellStyle name="Currency 5 3 2 6 2 3" xfId="12262" xr:uid="{9188CBC4-70C4-4ABE-BCAA-36FE09DD4C49}"/>
    <cellStyle name="Currency 5 3 2 6 3" xfId="5893" xr:uid="{00000000-0005-0000-0000-0000D50C0000}"/>
    <cellStyle name="Currency 5 3 2 6 3 2" xfId="14335" xr:uid="{09C9B17A-A592-455E-B7EC-B4E972EA861B}"/>
    <cellStyle name="Currency 5 3 2 6 4" xfId="10117" xr:uid="{71F07F1B-BA6F-499A-BD53-82FA1097443C}"/>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AA8ACA8A-07E3-41EC-B675-396B6D910639}"/>
    <cellStyle name="Currency 5 3 2 7 2 3" xfId="12675" xr:uid="{723E7B69-9839-4504-91B3-AFDFB244A0F3}"/>
    <cellStyle name="Currency 5 3 2 7 3" xfId="6306" xr:uid="{00000000-0005-0000-0000-0000D90C0000}"/>
    <cellStyle name="Currency 5 3 2 7 3 2" xfId="14748" xr:uid="{B98C61B1-7A02-4A60-84E5-05088650E4C8}"/>
    <cellStyle name="Currency 5 3 2 7 4" xfId="10530" xr:uid="{495ABFC4-B8CE-40DE-B03E-0D21FFFFE0BF}"/>
    <cellStyle name="Currency 5 3 2 8" xfId="2434" xr:uid="{00000000-0005-0000-0000-0000DA0C0000}"/>
    <cellStyle name="Currency 5 3 2 8 2" xfId="6719" xr:uid="{00000000-0005-0000-0000-0000DB0C0000}"/>
    <cellStyle name="Currency 5 3 2 8 2 2" xfId="15161" xr:uid="{9A4CE18C-CA46-4F3E-8BF9-1627ED174345}"/>
    <cellStyle name="Currency 5 3 2 8 3" xfId="10943" xr:uid="{3713F400-A95C-4204-99BF-83A00DA47F89}"/>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86A5898C-40AD-4E85-9623-9F2EBE90BC67}"/>
    <cellStyle name="Currency 5 3 3 11" xfId="8881" xr:uid="{D2626456-5545-48C1-80AB-0E6D197DA556}"/>
    <cellStyle name="Currency 5 3 3 2" xfId="215" xr:uid="{00000000-0005-0000-0000-0000DF0C0000}"/>
    <cellStyle name="Currency 5 3 3 2 10" xfId="8882" xr:uid="{AA68742A-437D-4CC9-BFCF-E08C10B19BBA}"/>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A4D43082-7874-4EE4-9882-DB3495425BC4}"/>
    <cellStyle name="Currency 5 3 3 2 2 2 3" xfId="11441" xr:uid="{19E5A0DE-A0BD-47BD-9D5C-7060E1D18301}"/>
    <cellStyle name="Currency 5 3 3 2 2 3" xfId="5072" xr:uid="{00000000-0005-0000-0000-0000E30C0000}"/>
    <cellStyle name="Currency 5 3 3 2 2 3 2" xfId="13514" xr:uid="{648ED0DB-EEA2-4789-9959-517E5FF7349C}"/>
    <cellStyle name="Currency 5 3 3 2 2 4" xfId="9296" xr:uid="{7728EFAF-53DC-4505-983B-334240434E85}"/>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D96D5263-86FF-41AC-9DAA-393D59B211A3}"/>
    <cellStyle name="Currency 5 3 3 2 3 2 3" xfId="11854" xr:uid="{2CDE7CA0-2CE5-4084-A990-74E5FAFFD773}"/>
    <cellStyle name="Currency 5 3 3 2 3 3" xfId="5485" xr:uid="{00000000-0005-0000-0000-0000E70C0000}"/>
    <cellStyle name="Currency 5 3 3 2 3 3 2" xfId="13927" xr:uid="{3577C3EE-D5CE-48B4-B1E0-9C15199E2130}"/>
    <cellStyle name="Currency 5 3 3 2 3 4" xfId="9709" xr:uid="{08F0E136-56A2-404B-9FCA-5002A9462B35}"/>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03009BF2-EF15-4FB3-B248-A56A03FCBCAF}"/>
    <cellStyle name="Currency 5 3 3 2 4 2 3" xfId="12267" xr:uid="{815C226A-B25E-43D8-8216-6DD94B46A418}"/>
    <cellStyle name="Currency 5 3 3 2 4 3" xfId="5898" xr:uid="{00000000-0005-0000-0000-0000EB0C0000}"/>
    <cellStyle name="Currency 5 3 3 2 4 3 2" xfId="14340" xr:uid="{AC6B3679-928D-4F0C-8B1B-81F0625CC6E0}"/>
    <cellStyle name="Currency 5 3 3 2 4 4" xfId="10122" xr:uid="{C785E4BD-77CE-4DB4-BD23-CA876A08F43C}"/>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2DDB40DF-81A1-4A65-9901-1067C025F364}"/>
    <cellStyle name="Currency 5 3 3 2 5 2 3" xfId="12680" xr:uid="{B2F4AFBB-0849-47E2-BD5C-F37FE1876D67}"/>
    <cellStyle name="Currency 5 3 3 2 5 3" xfId="6311" xr:uid="{00000000-0005-0000-0000-0000EF0C0000}"/>
    <cellStyle name="Currency 5 3 3 2 5 3 2" xfId="14753" xr:uid="{3A88202B-0EA7-479C-97DA-837B7130FF08}"/>
    <cellStyle name="Currency 5 3 3 2 5 4" xfId="10535" xr:uid="{24711079-B1CD-4F63-A519-3DC6500D8371}"/>
    <cellStyle name="Currency 5 3 3 2 6" xfId="2439" xr:uid="{00000000-0005-0000-0000-0000F00C0000}"/>
    <cellStyle name="Currency 5 3 3 2 6 2" xfId="6724" xr:uid="{00000000-0005-0000-0000-0000F10C0000}"/>
    <cellStyle name="Currency 5 3 3 2 6 2 2" xfId="15166" xr:uid="{0BA08D35-020B-4B55-8EF2-70CC3A16CFB2}"/>
    <cellStyle name="Currency 5 3 3 2 6 3" xfId="10948" xr:uid="{6F852EFE-24D8-43B3-8409-26061AFBA3E7}"/>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7BF10CF9-0375-4C03-862E-C7CF9064940F}"/>
    <cellStyle name="Currency 5 3 3 2 8 3" xfId="11265" xr:uid="{2FCB5CE1-4628-4BED-9ECA-45D3FB8E5C23}"/>
    <cellStyle name="Currency 5 3 3 2 9" xfId="4658" xr:uid="{00000000-0005-0000-0000-0000F50C0000}"/>
    <cellStyle name="Currency 5 3 3 2 9 2" xfId="13100" xr:uid="{44FED79F-57AC-4E75-B436-A3102DA131D4}"/>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1E8DBFAA-26AE-41CB-B3E5-DBAE1DF337B2}"/>
    <cellStyle name="Currency 5 3 3 3 2 3" xfId="11440" xr:uid="{9A59D02F-DFA3-40E8-8263-229A88D5E5A6}"/>
    <cellStyle name="Currency 5 3 3 3 3" xfId="5071" xr:uid="{00000000-0005-0000-0000-0000F90C0000}"/>
    <cellStyle name="Currency 5 3 3 3 3 2" xfId="13513" xr:uid="{EE92E894-61B4-4D48-8825-293854754FE4}"/>
    <cellStyle name="Currency 5 3 3 3 4" xfId="9295" xr:uid="{2FBEE9D1-0BF2-41B7-B595-BA3312267AAA}"/>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053BE067-CE70-4274-88FD-B9C8B858887E}"/>
    <cellStyle name="Currency 5 3 3 4 2 3" xfId="11853" xr:uid="{0CB346B8-6218-4F67-95E7-7A9EF07F1679}"/>
    <cellStyle name="Currency 5 3 3 4 3" xfId="5484" xr:uid="{00000000-0005-0000-0000-0000FD0C0000}"/>
    <cellStyle name="Currency 5 3 3 4 3 2" xfId="13926" xr:uid="{A31B2328-CA33-48A3-AB38-DA3E9011F5B5}"/>
    <cellStyle name="Currency 5 3 3 4 4" xfId="9708" xr:uid="{52EA7781-A476-4E2F-AF61-D9D68F33C115}"/>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11C45140-2466-46F1-9BCA-1BC831ED4327}"/>
    <cellStyle name="Currency 5 3 3 5 2 3" xfId="12266" xr:uid="{C16D75A0-C46E-4A09-9194-25ACACC375E1}"/>
    <cellStyle name="Currency 5 3 3 5 3" xfId="5897" xr:uid="{00000000-0005-0000-0000-0000010D0000}"/>
    <cellStyle name="Currency 5 3 3 5 3 2" xfId="14339" xr:uid="{5629FBE1-F707-4799-8CAD-95A4981E4F8C}"/>
    <cellStyle name="Currency 5 3 3 5 4" xfId="10121" xr:uid="{4F243373-CB50-4B4A-A355-2310A33C1264}"/>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7529151E-143F-459F-8215-543462A6887D}"/>
    <cellStyle name="Currency 5 3 3 6 2 3" xfId="12679" xr:uid="{36FEF951-A12D-414A-82BE-D9A2B91DE711}"/>
    <cellStyle name="Currency 5 3 3 6 3" xfId="6310" xr:uid="{00000000-0005-0000-0000-0000050D0000}"/>
    <cellStyle name="Currency 5 3 3 6 3 2" xfId="14752" xr:uid="{C449ABA1-7FE0-4845-8B93-54459790AC0E}"/>
    <cellStyle name="Currency 5 3 3 6 4" xfId="10534" xr:uid="{C4BD479B-E6BA-49D4-983F-45DE24FD4A64}"/>
    <cellStyle name="Currency 5 3 3 7" xfId="2438" xr:uid="{00000000-0005-0000-0000-0000060D0000}"/>
    <cellStyle name="Currency 5 3 3 7 2" xfId="6723" xr:uid="{00000000-0005-0000-0000-0000070D0000}"/>
    <cellStyle name="Currency 5 3 3 7 2 2" xfId="15165" xr:uid="{DA7AFB80-ABA1-49F5-902F-B44A2087562F}"/>
    <cellStyle name="Currency 5 3 3 7 3" xfId="10947" xr:uid="{81984638-4105-491F-BE06-3B389B791B86}"/>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B253DCC6-3F33-4BB4-9B61-1EE4CE1E146E}"/>
    <cellStyle name="Currency 5 3 3 9 3" xfId="11264" xr:uid="{D722CD02-10A2-4D5C-94A6-8F1EA333CBA4}"/>
    <cellStyle name="Currency 5 3 4" xfId="216" xr:uid="{00000000-0005-0000-0000-00000B0D0000}"/>
    <cellStyle name="Currency 5 3 4 10" xfId="8883" xr:uid="{D2F4708D-E074-4A7C-B391-C28AD5669A7E}"/>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4D744F2B-01FC-4DDB-B24D-1C57C9E967B7}"/>
    <cellStyle name="Currency 5 3 4 2 2 3" xfId="11442" xr:uid="{BC2527AE-7ED4-4D80-93EF-4B44606958D3}"/>
    <cellStyle name="Currency 5 3 4 2 3" xfId="5073" xr:uid="{00000000-0005-0000-0000-00000F0D0000}"/>
    <cellStyle name="Currency 5 3 4 2 3 2" xfId="13515" xr:uid="{E33EEFD7-9617-4E13-817B-5CB0DF2CBC0C}"/>
    <cellStyle name="Currency 5 3 4 2 4" xfId="9297" xr:uid="{11DB971D-8C29-4130-9B0F-50A2041887D8}"/>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CBEA6F63-F3CB-4C81-9F9A-946DAB6189FF}"/>
    <cellStyle name="Currency 5 3 4 3 2 3" xfId="11855" xr:uid="{4FA82EB2-2A3E-4590-B777-532A5C33A28C}"/>
    <cellStyle name="Currency 5 3 4 3 3" xfId="5486" xr:uid="{00000000-0005-0000-0000-0000130D0000}"/>
    <cellStyle name="Currency 5 3 4 3 3 2" xfId="13928" xr:uid="{D76D7FAF-BA1E-4F43-B1B5-0705CDDC2975}"/>
    <cellStyle name="Currency 5 3 4 3 4" xfId="9710" xr:uid="{F2557558-E9BD-42AE-B21F-5981B38CD494}"/>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59171EFE-093B-4E21-84F3-D70CB573D622}"/>
    <cellStyle name="Currency 5 3 4 4 2 3" xfId="12268" xr:uid="{3865332B-9B04-42AD-9EB0-C949B44BE4C8}"/>
    <cellStyle name="Currency 5 3 4 4 3" xfId="5899" xr:uid="{00000000-0005-0000-0000-0000170D0000}"/>
    <cellStyle name="Currency 5 3 4 4 3 2" xfId="14341" xr:uid="{DF8C6FF6-1CBF-46F9-BED6-31D392157327}"/>
    <cellStyle name="Currency 5 3 4 4 4" xfId="10123" xr:uid="{FB48D5E3-CD19-4841-9B58-36E9F2D125B1}"/>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5983A799-D752-47D1-AACB-6CE0E6C142FB}"/>
    <cellStyle name="Currency 5 3 4 5 2 3" xfId="12681" xr:uid="{D8225D6B-DA02-40E5-B02D-FBE695FA272D}"/>
    <cellStyle name="Currency 5 3 4 5 3" xfId="6312" xr:uid="{00000000-0005-0000-0000-00001B0D0000}"/>
    <cellStyle name="Currency 5 3 4 5 3 2" xfId="14754" xr:uid="{28DCB07F-6C1E-44D7-AA70-B1925B4F01B5}"/>
    <cellStyle name="Currency 5 3 4 5 4" xfId="10536" xr:uid="{CFA7946A-033D-43C1-A57D-50F1519BB4F1}"/>
    <cellStyle name="Currency 5 3 4 6" xfId="2440" xr:uid="{00000000-0005-0000-0000-00001C0D0000}"/>
    <cellStyle name="Currency 5 3 4 6 2" xfId="6725" xr:uid="{00000000-0005-0000-0000-00001D0D0000}"/>
    <cellStyle name="Currency 5 3 4 6 2 2" xfId="15167" xr:uid="{C054998C-D84B-444A-880B-A995CC4A5842}"/>
    <cellStyle name="Currency 5 3 4 6 3" xfId="10949" xr:uid="{4AA414B6-67D6-4EFC-8AB4-B634E89E7433}"/>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C52257D6-9CE8-4060-99ED-5ED26D48C3F9}"/>
    <cellStyle name="Currency 5 3 4 8 3" xfId="11266" xr:uid="{643EAFD9-B79D-4C9A-9744-686337C50110}"/>
    <cellStyle name="Currency 5 3 4 9" xfId="4659" xr:uid="{00000000-0005-0000-0000-0000210D0000}"/>
    <cellStyle name="Currency 5 3 4 9 2" xfId="13101" xr:uid="{AC1B35E3-24E3-44B1-B1AC-EC23C94FCE69}"/>
    <cellStyle name="Currency 5 3 5" xfId="217" xr:uid="{00000000-0005-0000-0000-0000220D0000}"/>
    <cellStyle name="Currency 5 3 5 10" xfId="8884" xr:uid="{58EF4DBD-7742-46F5-AF92-31CA06547648}"/>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43F33815-C25C-4D28-AC88-59C6A1B55DB7}"/>
    <cellStyle name="Currency 5 3 5 2 2 3" xfId="11443" xr:uid="{B9114B51-913F-4CC7-A942-AA5556A4516B}"/>
    <cellStyle name="Currency 5 3 5 2 3" xfId="5074" xr:uid="{00000000-0005-0000-0000-0000260D0000}"/>
    <cellStyle name="Currency 5 3 5 2 3 2" xfId="13516" xr:uid="{B4ACFBBF-088E-4838-AFE8-0214D919BE29}"/>
    <cellStyle name="Currency 5 3 5 2 4" xfId="9298" xr:uid="{7C6E2CE0-4A51-48A7-8CD1-06D71CDD7471}"/>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A8EA7AFF-9FB5-40BF-A5E3-6BA3CDA99CF8}"/>
    <cellStyle name="Currency 5 3 5 3 2 3" xfId="11856" xr:uid="{DF99A4F6-EB76-4C9D-9E06-2567544C62AB}"/>
    <cellStyle name="Currency 5 3 5 3 3" xfId="5487" xr:uid="{00000000-0005-0000-0000-00002A0D0000}"/>
    <cellStyle name="Currency 5 3 5 3 3 2" xfId="13929" xr:uid="{8BC63893-3E62-4223-A0E9-E042A0F91FBC}"/>
    <cellStyle name="Currency 5 3 5 3 4" xfId="9711" xr:uid="{C59BCA5E-D18C-4C7A-B6DA-19AA509679D9}"/>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77C1850F-A8FE-4B26-A6F7-0EC7FFA5E695}"/>
    <cellStyle name="Currency 5 3 5 4 2 3" xfId="12269" xr:uid="{24C5898B-D904-4EB7-9530-20275D53358B}"/>
    <cellStyle name="Currency 5 3 5 4 3" xfId="5900" xr:uid="{00000000-0005-0000-0000-00002E0D0000}"/>
    <cellStyle name="Currency 5 3 5 4 3 2" xfId="14342" xr:uid="{11680D91-7156-450D-9405-93566FD262F3}"/>
    <cellStyle name="Currency 5 3 5 4 4" xfId="10124" xr:uid="{99A67178-C134-4903-9EB6-8CF2B35602B7}"/>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666669F1-A21C-4F80-889B-EE99AC24EFAD}"/>
    <cellStyle name="Currency 5 3 5 5 2 3" xfId="12682" xr:uid="{8838CFED-E26E-4339-8A6F-D92E423EB62C}"/>
    <cellStyle name="Currency 5 3 5 5 3" xfId="6313" xr:uid="{00000000-0005-0000-0000-0000320D0000}"/>
    <cellStyle name="Currency 5 3 5 5 3 2" xfId="14755" xr:uid="{A05E7062-FCDC-4C89-B3DB-35488C3C1F94}"/>
    <cellStyle name="Currency 5 3 5 5 4" xfId="10537" xr:uid="{BE1388EE-1049-4603-9555-1F483A94A4AA}"/>
    <cellStyle name="Currency 5 3 5 6" xfId="2441" xr:uid="{00000000-0005-0000-0000-0000330D0000}"/>
    <cellStyle name="Currency 5 3 5 6 2" xfId="6726" xr:uid="{00000000-0005-0000-0000-0000340D0000}"/>
    <cellStyle name="Currency 5 3 5 6 2 2" xfId="15168" xr:uid="{B023E0D8-A08E-4ECF-A1BC-89DA4C52093E}"/>
    <cellStyle name="Currency 5 3 5 6 3" xfId="10950" xr:uid="{95C02093-7301-4FE9-8A11-B9852D7B3A09}"/>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5EE8FAE9-E323-430A-9127-0BE02A701A75}"/>
    <cellStyle name="Currency 5 3 5 8 3" xfId="11267" xr:uid="{953CC15F-91AA-4113-9417-1DFDB4C41C2D}"/>
    <cellStyle name="Currency 5 3 5 9" xfId="4660" xr:uid="{00000000-0005-0000-0000-0000380D0000}"/>
    <cellStyle name="Currency 5 3 5 9 2" xfId="13102" xr:uid="{1115D111-380D-40E1-A21D-B9BEEBA44D51}"/>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841CA80C-CEB9-4936-95BF-5AEBA3FC2254}"/>
    <cellStyle name="Currency 5 5 11" xfId="8885" xr:uid="{AAA8D38C-4946-467F-8A7A-60B8F05AFFC8}"/>
    <cellStyle name="Currency 5 5 2" xfId="220" xr:uid="{00000000-0005-0000-0000-00003D0D0000}"/>
    <cellStyle name="Currency 5 5 2 10" xfId="8886" xr:uid="{3F4864EA-F9E1-4ECD-A8F8-9D74F5518D6B}"/>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86516A8B-E542-4AF2-BEF8-4D30AFF58D21}"/>
    <cellStyle name="Currency 5 5 2 2 2 3" xfId="11445" xr:uid="{719D18EC-C6EE-4F91-A135-ABFAE44391F0}"/>
    <cellStyle name="Currency 5 5 2 2 3" xfId="5076" xr:uid="{00000000-0005-0000-0000-0000410D0000}"/>
    <cellStyle name="Currency 5 5 2 2 3 2" xfId="13518" xr:uid="{E069D506-A553-4204-B63B-BAEE331CDC41}"/>
    <cellStyle name="Currency 5 5 2 2 4" xfId="9300" xr:uid="{9E2E0AE4-B34B-4216-8272-BA389F0AD143}"/>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850AFB6F-6C26-459F-B33C-ECF07CFA0AA8}"/>
    <cellStyle name="Currency 5 5 2 3 2 3" xfId="11858" xr:uid="{7F4EF839-3461-44DC-837F-77E1A277BA54}"/>
    <cellStyle name="Currency 5 5 2 3 3" xfId="5489" xr:uid="{00000000-0005-0000-0000-0000450D0000}"/>
    <cellStyle name="Currency 5 5 2 3 3 2" xfId="13931" xr:uid="{B4257476-3F50-4EBF-97B8-DD7AE3992A7C}"/>
    <cellStyle name="Currency 5 5 2 3 4" xfId="9713" xr:uid="{261D1D5F-6EC4-44B3-9AB9-F51EE6DAC0D7}"/>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E7C5914E-31C4-4225-885B-7845A9888468}"/>
    <cellStyle name="Currency 5 5 2 4 2 3" xfId="12271" xr:uid="{FA6CB42F-7B8F-44FF-8C7D-1730B9ABA884}"/>
    <cellStyle name="Currency 5 5 2 4 3" xfId="5902" xr:uid="{00000000-0005-0000-0000-0000490D0000}"/>
    <cellStyle name="Currency 5 5 2 4 3 2" xfId="14344" xr:uid="{2D439FDD-5343-4D08-AD69-38AB05380AB9}"/>
    <cellStyle name="Currency 5 5 2 4 4" xfId="10126" xr:uid="{CD189ABE-9653-4A1D-8160-B67F2673DCFA}"/>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EA3E1E34-1B5A-4C5F-A874-C81D7BE4C57D}"/>
    <cellStyle name="Currency 5 5 2 5 2 3" xfId="12684" xr:uid="{85E047C8-6C3C-478D-BEF5-78E21AC7947E}"/>
    <cellStyle name="Currency 5 5 2 5 3" xfId="6315" xr:uid="{00000000-0005-0000-0000-00004D0D0000}"/>
    <cellStyle name="Currency 5 5 2 5 3 2" xfId="14757" xr:uid="{EEAC0983-E4C3-4F5F-852C-9A8B11237C7B}"/>
    <cellStyle name="Currency 5 5 2 5 4" xfId="10539" xr:uid="{CDE38056-4487-49B8-944C-1C3EC1930A63}"/>
    <cellStyle name="Currency 5 5 2 6" xfId="2443" xr:uid="{00000000-0005-0000-0000-00004E0D0000}"/>
    <cellStyle name="Currency 5 5 2 6 2" xfId="6728" xr:uid="{00000000-0005-0000-0000-00004F0D0000}"/>
    <cellStyle name="Currency 5 5 2 6 2 2" xfId="15170" xr:uid="{DBEDCBE3-5805-4078-8C91-598B7D273A82}"/>
    <cellStyle name="Currency 5 5 2 6 3" xfId="10952" xr:uid="{FB659378-9266-44BE-8FCF-A9A7AEE365EC}"/>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D0DE6131-5801-4AB8-A992-244159803B1A}"/>
    <cellStyle name="Currency 5 5 2 8 3" xfId="11269" xr:uid="{E4C5669C-C692-4408-B456-66278212E396}"/>
    <cellStyle name="Currency 5 5 2 9" xfId="4662" xr:uid="{00000000-0005-0000-0000-0000530D0000}"/>
    <cellStyle name="Currency 5 5 2 9 2" xfId="13104" xr:uid="{CC90A8CD-8E3C-414C-A77C-8AEFF9FA1659}"/>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667C8134-791B-4D33-8EC1-4C0FC5359B8B}"/>
    <cellStyle name="Currency 5 5 3 2 3" xfId="11444" xr:uid="{DB984A0C-3769-4C13-BC41-09A9E927B9C0}"/>
    <cellStyle name="Currency 5 5 3 3" xfId="5075" xr:uid="{00000000-0005-0000-0000-0000570D0000}"/>
    <cellStyle name="Currency 5 5 3 3 2" xfId="13517" xr:uid="{F6F3101F-299C-414A-982D-D16F8931821C}"/>
    <cellStyle name="Currency 5 5 3 4" xfId="9299" xr:uid="{8BE04A49-6E1D-4595-B010-608301A6991B}"/>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89C6EE9D-1400-436A-A144-35D610FC2002}"/>
    <cellStyle name="Currency 5 5 4 2 3" xfId="11857" xr:uid="{2C9C856E-56F7-47D1-ACC0-DD890C5DB3B7}"/>
    <cellStyle name="Currency 5 5 4 3" xfId="5488" xr:uid="{00000000-0005-0000-0000-00005B0D0000}"/>
    <cellStyle name="Currency 5 5 4 3 2" xfId="13930" xr:uid="{6587FBBE-CD34-42C3-AAD9-5C2F701FFA70}"/>
    <cellStyle name="Currency 5 5 4 4" xfId="9712" xr:uid="{333C70B9-1592-4DC6-A99F-863BFAB82123}"/>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63D243F9-CAC8-45EA-B091-AD19C7B43DE1}"/>
    <cellStyle name="Currency 5 5 5 2 3" xfId="12270" xr:uid="{3AB749C5-4A49-42ED-B98A-A94402BA8931}"/>
    <cellStyle name="Currency 5 5 5 3" xfId="5901" xr:uid="{00000000-0005-0000-0000-00005F0D0000}"/>
    <cellStyle name="Currency 5 5 5 3 2" xfId="14343" xr:uid="{30B93C2B-F41A-4827-9398-A22FDBB239B4}"/>
    <cellStyle name="Currency 5 5 5 4" xfId="10125" xr:uid="{630CE0EF-274A-4408-B51D-2688D7CF4EA8}"/>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EFB34D55-BB07-4F51-AD8F-B9C9C481F674}"/>
    <cellStyle name="Currency 5 5 6 2 3" xfId="12683" xr:uid="{7CE4800D-8B46-4834-8ABE-409C8BCEAFDB}"/>
    <cellStyle name="Currency 5 5 6 3" xfId="6314" xr:uid="{00000000-0005-0000-0000-0000630D0000}"/>
    <cellStyle name="Currency 5 5 6 3 2" xfId="14756" xr:uid="{45DC3188-681C-42DF-AF08-A6BE79CFAF7E}"/>
    <cellStyle name="Currency 5 5 6 4" xfId="10538" xr:uid="{6417AD95-7E4B-4AFE-8569-96611B3114AD}"/>
    <cellStyle name="Currency 5 5 7" xfId="2442" xr:uid="{00000000-0005-0000-0000-0000640D0000}"/>
    <cellStyle name="Currency 5 5 7 2" xfId="6727" xr:uid="{00000000-0005-0000-0000-0000650D0000}"/>
    <cellStyle name="Currency 5 5 7 2 2" xfId="15169" xr:uid="{3292C413-F4ED-4CE6-B87A-9774551FC0A2}"/>
    <cellStyle name="Currency 5 5 7 3" xfId="10951" xr:uid="{6E623756-D766-4B04-8E40-DBA22834587C}"/>
    <cellStyle name="Currency 5 5 8" xfId="2739" xr:uid="{00000000-0005-0000-0000-0000660D0000}"/>
    <cellStyle name="Currency 5 5 9" xfId="2820" xr:uid="{00000000-0005-0000-0000-0000670D0000}"/>
    <cellStyle name="Currency 5 5 9 2" xfId="7044" xr:uid="{00000000-0005-0000-0000-0000680D0000}"/>
    <cellStyle name="Currency 5 5 9 2 2" xfId="15486" xr:uid="{6B9AC5B7-9D24-4F24-B5EB-78380F97A9A8}"/>
    <cellStyle name="Currency 5 5 9 3" xfId="11268" xr:uid="{74F8CA3C-3EFA-4299-9BF1-E11353613849}"/>
    <cellStyle name="Currency 5 6" xfId="221" xr:uid="{00000000-0005-0000-0000-0000690D0000}"/>
    <cellStyle name="Currency 5 6 10" xfId="8887" xr:uid="{3410E783-AE30-426F-A274-51F37C5C6105}"/>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E85D305D-AB04-4F11-8C19-39F79480CD87}"/>
    <cellStyle name="Currency 5 6 2 2 3" xfId="11446" xr:uid="{F5239902-D553-418F-B4E2-C0ED46D4E953}"/>
    <cellStyle name="Currency 5 6 2 3" xfId="5077" xr:uid="{00000000-0005-0000-0000-00006D0D0000}"/>
    <cellStyle name="Currency 5 6 2 3 2" xfId="13519" xr:uid="{A3E0D9E8-BC10-45F7-A371-60E5683F8DBD}"/>
    <cellStyle name="Currency 5 6 2 4" xfId="9301" xr:uid="{1517B77B-3B75-4820-B555-2F9D636382AF}"/>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A8CF7ADA-E165-4958-8DDF-0AC13064A8B8}"/>
    <cellStyle name="Currency 5 6 3 2 3" xfId="11859" xr:uid="{74D3F2E9-9C5E-473C-A4D6-5C073BD90066}"/>
    <cellStyle name="Currency 5 6 3 3" xfId="5490" xr:uid="{00000000-0005-0000-0000-0000710D0000}"/>
    <cellStyle name="Currency 5 6 3 3 2" xfId="13932" xr:uid="{03668BBF-029F-46CC-B5E7-DF12747C51F0}"/>
    <cellStyle name="Currency 5 6 3 4" xfId="9714" xr:uid="{F0FC2181-72EC-478C-9CF6-D053843108B6}"/>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33D5BE9D-5387-4279-BB0C-2B16D245B6E1}"/>
    <cellStyle name="Currency 5 6 4 2 3" xfId="12272" xr:uid="{86CBB825-02DE-4D72-A02A-8442D74799C6}"/>
    <cellStyle name="Currency 5 6 4 3" xfId="5903" xr:uid="{00000000-0005-0000-0000-0000750D0000}"/>
    <cellStyle name="Currency 5 6 4 3 2" xfId="14345" xr:uid="{B25B9480-1C77-4B05-94E9-C935A260EF5C}"/>
    <cellStyle name="Currency 5 6 4 4" xfId="10127" xr:uid="{C4A0ED68-2F37-4297-890A-F29BE326FD99}"/>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C03B40F4-C39E-44F1-A2F8-F5A8F033F25E}"/>
    <cellStyle name="Currency 5 6 5 2 3" xfId="12685" xr:uid="{4990F6E8-FAFF-4361-8C80-74A04B1EB013}"/>
    <cellStyle name="Currency 5 6 5 3" xfId="6316" xr:uid="{00000000-0005-0000-0000-0000790D0000}"/>
    <cellStyle name="Currency 5 6 5 3 2" xfId="14758" xr:uid="{69EC02C8-E096-4D2A-B670-B0A82AB2629D}"/>
    <cellStyle name="Currency 5 6 5 4" xfId="10540" xr:uid="{D2CCAC17-7762-4990-B5A4-ABC6CEA3045A}"/>
    <cellStyle name="Currency 5 6 6" xfId="2444" xr:uid="{00000000-0005-0000-0000-00007A0D0000}"/>
    <cellStyle name="Currency 5 6 6 2" xfId="6729" xr:uid="{00000000-0005-0000-0000-00007B0D0000}"/>
    <cellStyle name="Currency 5 6 6 2 2" xfId="15171" xr:uid="{3ABB6682-284A-4271-A212-9662F266EB7F}"/>
    <cellStyle name="Currency 5 6 6 3" xfId="10953" xr:uid="{C37354DF-691F-45E6-9B97-21BD3B7561CA}"/>
    <cellStyle name="Currency 5 6 7" xfId="2741" xr:uid="{00000000-0005-0000-0000-00007C0D0000}"/>
    <cellStyle name="Currency 5 6 8" xfId="2822" xr:uid="{00000000-0005-0000-0000-00007D0D0000}"/>
    <cellStyle name="Currency 5 6 8 2" xfId="7046" xr:uid="{00000000-0005-0000-0000-00007E0D0000}"/>
    <cellStyle name="Currency 5 6 8 2 2" xfId="15488" xr:uid="{81BF35F6-66F5-44C9-93DF-3A983C27382F}"/>
    <cellStyle name="Currency 5 6 8 3" xfId="11270" xr:uid="{B4943D0D-7C95-4697-AFFF-66428C3C823F}"/>
    <cellStyle name="Currency 5 6 9" xfId="4663" xr:uid="{00000000-0005-0000-0000-00007F0D0000}"/>
    <cellStyle name="Currency 5 6 9 2" xfId="13105" xr:uid="{305FF636-0E19-46FC-B36F-8864E47629F8}"/>
    <cellStyle name="Currency 5 7" xfId="222" xr:uid="{00000000-0005-0000-0000-0000800D0000}"/>
    <cellStyle name="Currency 5 7 10" xfId="8888" xr:uid="{9D783CB6-BF89-4275-BBA4-F353A959BA13}"/>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D4EA3B55-B666-4D73-B547-3C03280DA487}"/>
    <cellStyle name="Currency 5 7 2 2 3" xfId="11447" xr:uid="{A77D0710-CCFD-4B41-B359-FBF30E850536}"/>
    <cellStyle name="Currency 5 7 2 3" xfId="5078" xr:uid="{00000000-0005-0000-0000-0000840D0000}"/>
    <cellStyle name="Currency 5 7 2 3 2" xfId="13520" xr:uid="{8819E489-E7E0-482F-8EBA-D74E407061BE}"/>
    <cellStyle name="Currency 5 7 2 4" xfId="9302" xr:uid="{9A0F6119-D070-49ED-BBE1-B429D562CC56}"/>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4FB6D1A7-CB38-442B-87B5-64F7E18AACF3}"/>
    <cellStyle name="Currency 5 7 3 2 3" xfId="11860" xr:uid="{33269100-515A-4EF5-9150-8088FC602402}"/>
    <cellStyle name="Currency 5 7 3 3" xfId="5491" xr:uid="{00000000-0005-0000-0000-0000880D0000}"/>
    <cellStyle name="Currency 5 7 3 3 2" xfId="13933" xr:uid="{5EDDE43C-603B-4CC2-B7CA-ADE798C685FD}"/>
    <cellStyle name="Currency 5 7 3 4" xfId="9715" xr:uid="{1065F002-1D9F-4C89-B627-B39C8D73B943}"/>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B2E221B3-63B5-4DE7-B600-E8AA34BBFF65}"/>
    <cellStyle name="Currency 5 7 4 2 3" xfId="12273" xr:uid="{96AE70ED-3BE3-4747-9A23-AB70EB1130D2}"/>
    <cellStyle name="Currency 5 7 4 3" xfId="5904" xr:uid="{00000000-0005-0000-0000-00008C0D0000}"/>
    <cellStyle name="Currency 5 7 4 3 2" xfId="14346" xr:uid="{82A7B974-2FA9-4AB0-94BC-2D49A7C1DF35}"/>
    <cellStyle name="Currency 5 7 4 4" xfId="10128" xr:uid="{D001BE21-B046-4930-986E-DE6F69D153B3}"/>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A6E8B863-7026-4A82-A55C-E50896401155}"/>
    <cellStyle name="Currency 5 7 5 2 3" xfId="12686" xr:uid="{F2246FCB-EB7A-49BD-9784-626562E05035}"/>
    <cellStyle name="Currency 5 7 5 3" xfId="6317" xr:uid="{00000000-0005-0000-0000-0000900D0000}"/>
    <cellStyle name="Currency 5 7 5 3 2" xfId="14759" xr:uid="{2CB8B79B-3F12-4A0D-B919-CCBBF7852FD0}"/>
    <cellStyle name="Currency 5 7 5 4" xfId="10541" xr:uid="{8C62B51A-4310-42F8-9028-EC58F44DD838}"/>
    <cellStyle name="Currency 5 7 6" xfId="2445" xr:uid="{00000000-0005-0000-0000-0000910D0000}"/>
    <cellStyle name="Currency 5 7 6 2" xfId="6730" xr:uid="{00000000-0005-0000-0000-0000920D0000}"/>
    <cellStyle name="Currency 5 7 6 2 2" xfId="15172" xr:uid="{754D8782-3C8C-4D35-8313-4E0D285584DE}"/>
    <cellStyle name="Currency 5 7 6 3" xfId="10954" xr:uid="{0DB8E148-3E9F-4F78-82C8-2AEB955F5D05}"/>
    <cellStyle name="Currency 5 7 7" xfId="2742" xr:uid="{00000000-0005-0000-0000-0000930D0000}"/>
    <cellStyle name="Currency 5 7 8" xfId="2823" xr:uid="{00000000-0005-0000-0000-0000940D0000}"/>
    <cellStyle name="Currency 5 7 8 2" xfId="7047" xr:uid="{00000000-0005-0000-0000-0000950D0000}"/>
    <cellStyle name="Currency 5 7 8 2 2" xfId="15489" xr:uid="{F2B182ED-1798-47C7-AD04-BDA29A139242}"/>
    <cellStyle name="Currency 5 7 8 3" xfId="11271" xr:uid="{D955008D-8059-4DC7-8399-5AA92B5F6CE1}"/>
    <cellStyle name="Currency 5 7 9" xfId="4664" xr:uid="{00000000-0005-0000-0000-0000960D0000}"/>
    <cellStyle name="Currency 5 7 9 2" xfId="13106" xr:uid="{955DB13F-0C76-4DA3-A6B1-908C0B0CB4C5}"/>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AE2AE745-DE9F-4818-B913-620EDFB9B731}"/>
    <cellStyle name="Normal 12 10 3" xfId="10955" xr:uid="{88E50A02-8705-4112-B0A9-468D170890C4}"/>
    <cellStyle name="Normal 12 11" xfId="4665" xr:uid="{00000000-0005-0000-0000-0000CC0D0000}"/>
    <cellStyle name="Normal 12 11 2" xfId="13107" xr:uid="{D665EF4A-7E3A-4CFD-9DAB-06AC41E0DC81}"/>
    <cellStyle name="Normal 12 12" xfId="8889" xr:uid="{B105B7EE-CC19-4ABA-9733-336C30B4FAFA}"/>
    <cellStyle name="Normal 12 2" xfId="260" xr:uid="{00000000-0005-0000-0000-0000CD0D0000}"/>
    <cellStyle name="Normal 12 2 10" xfId="8890" xr:uid="{D4483612-6283-45F3-8232-05937B4BFAB9}"/>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77D67A66-FF08-47C3-BCD4-049CE8D0158B}"/>
    <cellStyle name="Normal 12 2 2 2 2 2 3" xfId="11451" xr:uid="{BD3F33D2-56C8-4215-814F-F9D142FC860B}"/>
    <cellStyle name="Normal 12 2 2 2 2 3" xfId="5082" xr:uid="{00000000-0005-0000-0000-0000D30D0000}"/>
    <cellStyle name="Normal 12 2 2 2 2 3 2" xfId="13524" xr:uid="{BBEEEDC7-8073-4389-BEFC-732F918E9C6F}"/>
    <cellStyle name="Normal 12 2 2 2 2 4" xfId="9306" xr:uid="{908680A7-D3FB-4306-AAAB-5FEBBA51601F}"/>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5EEC96CC-A196-43CA-AB7E-6C21827CAAA0}"/>
    <cellStyle name="Normal 12 2 2 2 3 2 3" xfId="11864" xr:uid="{2A98016B-A6CA-4392-AACE-CCCD12BE7147}"/>
    <cellStyle name="Normal 12 2 2 2 3 3" xfId="5495" xr:uid="{00000000-0005-0000-0000-0000D70D0000}"/>
    <cellStyle name="Normal 12 2 2 2 3 3 2" xfId="13937" xr:uid="{118CE514-CCD0-4B8B-80FE-971F646DC437}"/>
    <cellStyle name="Normal 12 2 2 2 3 4" xfId="9719" xr:uid="{B9C3EB24-9B91-45F5-B668-B07FB02DC629}"/>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02610A6B-CD0E-4488-B3C4-7B31B07E810D}"/>
    <cellStyle name="Normal 12 2 2 2 4 2 3" xfId="12277" xr:uid="{5802DB44-54D0-468C-B1FE-0DDE3D57190A}"/>
    <cellStyle name="Normal 12 2 2 2 4 3" xfId="5908" xr:uid="{00000000-0005-0000-0000-0000DB0D0000}"/>
    <cellStyle name="Normal 12 2 2 2 4 3 2" xfId="14350" xr:uid="{7F2FAE49-7EA8-484E-AA3A-C1BD4D13E462}"/>
    <cellStyle name="Normal 12 2 2 2 4 4" xfId="10132" xr:uid="{D0C9B1C7-EE27-48A9-982F-7AAEFDC364FF}"/>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FBE3CD35-CCDF-47D0-8887-1A1A32DC44B2}"/>
    <cellStyle name="Normal 12 2 2 2 5 2 3" xfId="12690" xr:uid="{5856639B-ADA9-4232-BEE2-696BB7966D3C}"/>
    <cellStyle name="Normal 12 2 2 2 5 3" xfId="6321" xr:uid="{00000000-0005-0000-0000-0000DF0D0000}"/>
    <cellStyle name="Normal 12 2 2 2 5 3 2" xfId="14763" xr:uid="{EAD4F333-26FB-4251-8115-2A63413A351A}"/>
    <cellStyle name="Normal 12 2 2 2 5 4" xfId="10545" xr:uid="{48D10443-1181-4583-B151-C632882002CB}"/>
    <cellStyle name="Normal 12 2 2 2 6" xfId="2450" xr:uid="{00000000-0005-0000-0000-0000E00D0000}"/>
    <cellStyle name="Normal 12 2 2 2 6 2" xfId="6734" xr:uid="{00000000-0005-0000-0000-0000E10D0000}"/>
    <cellStyle name="Normal 12 2 2 2 6 2 2" xfId="15176" xr:uid="{5387561D-C724-40EE-880C-BC9A78928C8B}"/>
    <cellStyle name="Normal 12 2 2 2 6 3" xfId="10958" xr:uid="{8CA83BDF-1414-4101-9965-D26E830DF9A0}"/>
    <cellStyle name="Normal 12 2 2 2 7" xfId="4668" xr:uid="{00000000-0005-0000-0000-0000E20D0000}"/>
    <cellStyle name="Normal 12 2 2 2 7 2" xfId="13110" xr:uid="{5535D57E-D483-483D-866F-FA7F9A9A991C}"/>
    <cellStyle name="Normal 12 2 2 2 8" xfId="8892" xr:uid="{1606E954-1324-4353-A40F-82BE5FBB8ECA}"/>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B5B0578A-C193-4FB9-8F60-1DFCBADADF46}"/>
    <cellStyle name="Normal 12 2 2 3 2 3" xfId="11450" xr:uid="{75E3D1A8-295A-4BB5-A0F0-2862B30C2DF4}"/>
    <cellStyle name="Normal 12 2 2 3 3" xfId="5081" xr:uid="{00000000-0005-0000-0000-0000E60D0000}"/>
    <cellStyle name="Normal 12 2 2 3 3 2" xfId="13523" xr:uid="{73D1DABC-BC73-4DCD-9D33-64255FE2D4AE}"/>
    <cellStyle name="Normal 12 2 2 3 4" xfId="9305" xr:uid="{C3207C61-A26D-4FC6-B9BF-58A727C56F75}"/>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C20F6C25-C03C-4380-84ED-282466B4E4B1}"/>
    <cellStyle name="Normal 12 2 2 4 2 3" xfId="11863" xr:uid="{A055E552-37A3-4ECD-AC96-8CD36B94EEEE}"/>
    <cellStyle name="Normal 12 2 2 4 3" xfId="5494" xr:uid="{00000000-0005-0000-0000-0000EA0D0000}"/>
    <cellStyle name="Normal 12 2 2 4 3 2" xfId="13936" xr:uid="{5600F3F2-2CBD-4878-9A6B-D4F4966489D4}"/>
    <cellStyle name="Normal 12 2 2 4 4" xfId="9718" xr:uid="{F532F79C-85C4-48C6-9EEA-30E9F00ABED9}"/>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18F86C6A-3BB3-440C-AD12-F92AB46F2499}"/>
    <cellStyle name="Normal 12 2 2 5 2 3" xfId="12276" xr:uid="{33C22319-5163-4071-A31D-03E8D3ECED0A}"/>
    <cellStyle name="Normal 12 2 2 5 3" xfId="5907" xr:uid="{00000000-0005-0000-0000-0000EE0D0000}"/>
    <cellStyle name="Normal 12 2 2 5 3 2" xfId="14349" xr:uid="{B950B26A-FDE1-4123-896C-4ECFB5B00304}"/>
    <cellStyle name="Normal 12 2 2 5 4" xfId="10131" xr:uid="{D7CF70EA-BFB1-487E-A83E-64D23A278BF6}"/>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0FC3AE33-56A5-43DE-8015-320C9EA2B9EF}"/>
    <cellStyle name="Normal 12 2 2 6 2 3" xfId="12689" xr:uid="{14827F17-C35E-416D-B665-51A04FC42FB3}"/>
    <cellStyle name="Normal 12 2 2 6 3" xfId="6320" xr:uid="{00000000-0005-0000-0000-0000F20D0000}"/>
    <cellStyle name="Normal 12 2 2 6 3 2" xfId="14762" xr:uid="{0B9E205F-2B82-4D2E-9E1C-AC1422129833}"/>
    <cellStyle name="Normal 12 2 2 6 4" xfId="10544" xr:uid="{2F35811F-AA5F-43AB-B99D-269A929B41CD}"/>
    <cellStyle name="Normal 12 2 2 7" xfId="2449" xr:uid="{00000000-0005-0000-0000-0000F30D0000}"/>
    <cellStyle name="Normal 12 2 2 7 2" xfId="6733" xr:uid="{00000000-0005-0000-0000-0000F40D0000}"/>
    <cellStyle name="Normal 12 2 2 7 2 2" xfId="15175" xr:uid="{C6F43480-5172-4BFF-B0EE-994B1AF57C8F}"/>
    <cellStyle name="Normal 12 2 2 7 3" xfId="10957" xr:uid="{1309E736-2834-4273-AB5F-CB8271079089}"/>
    <cellStyle name="Normal 12 2 2 8" xfId="4667" xr:uid="{00000000-0005-0000-0000-0000F50D0000}"/>
    <cellStyle name="Normal 12 2 2 8 2" xfId="13109" xr:uid="{3FC78C13-3F61-4FA4-A6AC-8B3FE4FC855B}"/>
    <cellStyle name="Normal 12 2 2 9" xfId="8891" xr:uid="{29CF2DA7-4043-42BE-82B2-DDAB4380201F}"/>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93563914-4518-4965-93F0-336134DC23B6}"/>
    <cellStyle name="Normal 12 2 3 2 2 3" xfId="11452" xr:uid="{C1A4B7D9-077E-4DAC-B47A-CDFAD1CC07E4}"/>
    <cellStyle name="Normal 12 2 3 2 3" xfId="5083" xr:uid="{00000000-0005-0000-0000-0000FA0D0000}"/>
    <cellStyle name="Normal 12 2 3 2 3 2" xfId="13525" xr:uid="{1736A7D5-4236-430D-A6AA-DCAD3F81F5EE}"/>
    <cellStyle name="Normal 12 2 3 2 4" xfId="9307" xr:uid="{67531456-89A7-4F98-AF36-1038B22C928E}"/>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195F2C40-A96E-425C-94D7-BA8D04BF2BA3}"/>
    <cellStyle name="Normal 12 2 3 3 2 3" xfId="11865" xr:uid="{699F55F6-10B4-41C3-8608-94637A6A0B85}"/>
    <cellStyle name="Normal 12 2 3 3 3" xfId="5496" xr:uid="{00000000-0005-0000-0000-0000FE0D0000}"/>
    <cellStyle name="Normal 12 2 3 3 3 2" xfId="13938" xr:uid="{7D5D3BB1-70A3-4308-929E-BB9E4E1ED03B}"/>
    <cellStyle name="Normal 12 2 3 3 4" xfId="9720" xr:uid="{32ACBA97-F198-44DF-BC44-DEA149769F84}"/>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18E26682-E1B9-44B5-80F2-133A450F07C4}"/>
    <cellStyle name="Normal 12 2 3 4 2 3" xfId="12278" xr:uid="{779BF4BA-4244-4666-9D87-95682BDBE8DF}"/>
    <cellStyle name="Normal 12 2 3 4 3" xfId="5909" xr:uid="{00000000-0005-0000-0000-0000020E0000}"/>
    <cellStyle name="Normal 12 2 3 4 3 2" xfId="14351" xr:uid="{D7F15BAC-F254-4CA4-BB5F-BD87F3B44B69}"/>
    <cellStyle name="Normal 12 2 3 4 4" xfId="10133" xr:uid="{2C8FE8AC-EF67-4A9A-B69E-C63867A4EFC1}"/>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914DD915-BE6E-4619-AC8B-6AD4412434BB}"/>
    <cellStyle name="Normal 12 2 3 5 2 3" xfId="12691" xr:uid="{412C4FC6-3DD4-4BE5-B0F9-E9A37F7BF167}"/>
    <cellStyle name="Normal 12 2 3 5 3" xfId="6322" xr:uid="{00000000-0005-0000-0000-0000060E0000}"/>
    <cellStyle name="Normal 12 2 3 5 3 2" xfId="14764" xr:uid="{EDCFAD8E-7D8D-4BC3-91E8-B2872DDD5A15}"/>
    <cellStyle name="Normal 12 2 3 5 4" xfId="10546" xr:uid="{B75292E1-4259-4289-8A41-300C15C4C38C}"/>
    <cellStyle name="Normal 12 2 3 6" xfId="2451" xr:uid="{00000000-0005-0000-0000-0000070E0000}"/>
    <cellStyle name="Normal 12 2 3 6 2" xfId="6735" xr:uid="{00000000-0005-0000-0000-0000080E0000}"/>
    <cellStyle name="Normal 12 2 3 6 2 2" xfId="15177" xr:uid="{1A67018F-13C8-4C36-82DE-77ABF6CBD7EE}"/>
    <cellStyle name="Normal 12 2 3 6 3" xfId="10959" xr:uid="{D36259AC-EE40-4DFA-9AA3-5A51AD1D65FA}"/>
    <cellStyle name="Normal 12 2 3 7" xfId="4669" xr:uid="{00000000-0005-0000-0000-0000090E0000}"/>
    <cellStyle name="Normal 12 2 3 7 2" xfId="13111" xr:uid="{2E6186D4-C535-418F-B9AF-D4F25C1C5C49}"/>
    <cellStyle name="Normal 12 2 3 8" xfId="8893" xr:uid="{47D76248-8C9D-43D6-9C3F-B4B21863BBA5}"/>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3D287AD6-3384-4559-A816-E37BBCBB677A}"/>
    <cellStyle name="Normal 12 2 4 2 3" xfId="11449" xr:uid="{64A95B8A-F71C-4F81-A337-D0932924DE93}"/>
    <cellStyle name="Normal 12 2 4 3" xfId="5080" xr:uid="{00000000-0005-0000-0000-00000D0E0000}"/>
    <cellStyle name="Normal 12 2 4 3 2" xfId="13522" xr:uid="{F5009871-C47B-4830-8084-36906097B9A3}"/>
    <cellStyle name="Normal 12 2 4 4" xfId="9304" xr:uid="{2F84ED48-3F6C-4E81-BD11-FD6B3D89A3BF}"/>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CB07081A-755E-4CF6-B6B3-02BF03951F57}"/>
    <cellStyle name="Normal 12 2 5 2 3" xfId="11862" xr:uid="{B34627F4-2117-474B-A3EE-49EB9403F25A}"/>
    <cellStyle name="Normal 12 2 5 3" xfId="5493" xr:uid="{00000000-0005-0000-0000-0000110E0000}"/>
    <cellStyle name="Normal 12 2 5 3 2" xfId="13935" xr:uid="{BFC26F16-675A-441F-8DDA-5B210267B1C8}"/>
    <cellStyle name="Normal 12 2 5 4" xfId="9717" xr:uid="{6F39625E-A3AB-47FC-90CF-8E4EC276AB61}"/>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B9DF4904-2BF7-4668-B197-9E440A6DFFF5}"/>
    <cellStyle name="Normal 12 2 6 2 3" xfId="12275" xr:uid="{8E94B8C8-85BF-4541-B198-158E89ABD2CB}"/>
    <cellStyle name="Normal 12 2 6 3" xfId="5906" xr:uid="{00000000-0005-0000-0000-0000150E0000}"/>
    <cellStyle name="Normal 12 2 6 3 2" xfId="14348" xr:uid="{83269DA1-42E7-4FAA-AC7C-BF0C9EECD174}"/>
    <cellStyle name="Normal 12 2 6 4" xfId="10130" xr:uid="{680452FC-3A28-40E0-A139-303FCB5E878A}"/>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51C56B01-F3FC-47B2-A4F6-EC091E9ADC45}"/>
    <cellStyle name="Normal 12 2 7 2 3" xfId="12688" xr:uid="{4421FE07-ABFB-4FD2-B99A-D3B134E3DADA}"/>
    <cellStyle name="Normal 12 2 7 3" xfId="6319" xr:uid="{00000000-0005-0000-0000-0000190E0000}"/>
    <cellStyle name="Normal 12 2 7 3 2" xfId="14761" xr:uid="{929209A8-698E-461E-82AC-80672C6FE0E2}"/>
    <cellStyle name="Normal 12 2 7 4" xfId="10543" xr:uid="{E0566DFA-6B9D-4929-AD55-4EA9FB33F2F2}"/>
    <cellStyle name="Normal 12 2 8" xfId="2448" xr:uid="{00000000-0005-0000-0000-00001A0E0000}"/>
    <cellStyle name="Normal 12 2 8 2" xfId="6732" xr:uid="{00000000-0005-0000-0000-00001B0E0000}"/>
    <cellStyle name="Normal 12 2 8 2 2" xfId="15174" xr:uid="{22F0983D-A0BD-41EF-B827-7453F992C7E5}"/>
    <cellStyle name="Normal 12 2 8 3" xfId="10956" xr:uid="{B545780C-1AB0-4CDD-9439-BD366F3C90F4}"/>
    <cellStyle name="Normal 12 2 9" xfId="4666" xr:uid="{00000000-0005-0000-0000-00001C0E0000}"/>
    <cellStyle name="Normal 12 2 9 2" xfId="13108" xr:uid="{213708E4-0C39-4578-91A0-F6A0BE847A22}"/>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1C6DEB77-5D16-4639-A758-9CAF5AB328D1}"/>
    <cellStyle name="Normal 12 3 2 2 2 3" xfId="11454" xr:uid="{F8D08546-4062-4B6C-8B21-B49A1274C2D4}"/>
    <cellStyle name="Normal 12 3 2 2 3" xfId="5085" xr:uid="{00000000-0005-0000-0000-0000220E0000}"/>
    <cellStyle name="Normal 12 3 2 2 3 2" xfId="13527" xr:uid="{4F375761-5156-4711-AA02-D99D6B0E1F93}"/>
    <cellStyle name="Normal 12 3 2 2 4" xfId="9309" xr:uid="{07E9AED2-BA32-4BF3-9DA4-C2B08FD6D58A}"/>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E2E79886-F8E0-45AA-B082-1007C403BF48}"/>
    <cellStyle name="Normal 12 3 2 3 2 3" xfId="11867" xr:uid="{784D3F96-D877-4AC0-8157-93E6CEA9FBDF}"/>
    <cellStyle name="Normal 12 3 2 3 3" xfId="5498" xr:uid="{00000000-0005-0000-0000-0000260E0000}"/>
    <cellStyle name="Normal 12 3 2 3 3 2" xfId="13940" xr:uid="{32A93AAD-7284-4BFE-8452-1684A8B2BF9C}"/>
    <cellStyle name="Normal 12 3 2 3 4" xfId="9722" xr:uid="{2442EA77-8B35-43A7-9D71-7ECCE3C97652}"/>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C7FAA073-0F9D-42D7-8168-04E0E45C8E7C}"/>
    <cellStyle name="Normal 12 3 2 4 2 3" xfId="12280" xr:uid="{18C233F5-902E-4C4C-9073-2F7BE00E6480}"/>
    <cellStyle name="Normal 12 3 2 4 3" xfId="5911" xr:uid="{00000000-0005-0000-0000-00002A0E0000}"/>
    <cellStyle name="Normal 12 3 2 4 3 2" xfId="14353" xr:uid="{34F2CC62-9F01-44CE-8300-02C360088322}"/>
    <cellStyle name="Normal 12 3 2 4 4" xfId="10135" xr:uid="{5A0A8F8A-0769-43F1-B21B-046FC9E38CAE}"/>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EA724F4F-8144-4792-8432-A9E4BAAA9929}"/>
    <cellStyle name="Normal 12 3 2 5 2 3" xfId="12693" xr:uid="{61CD48AF-F434-4C79-BDBF-76123493EB0A}"/>
    <cellStyle name="Normal 12 3 2 5 3" xfId="6324" xr:uid="{00000000-0005-0000-0000-00002E0E0000}"/>
    <cellStyle name="Normal 12 3 2 5 3 2" xfId="14766" xr:uid="{882434C9-7874-4895-8BF2-6923D8F63E46}"/>
    <cellStyle name="Normal 12 3 2 5 4" xfId="10548" xr:uid="{0D3E527F-2817-4CFF-8174-5BAD2610580D}"/>
    <cellStyle name="Normal 12 3 2 6" xfId="2453" xr:uid="{00000000-0005-0000-0000-00002F0E0000}"/>
    <cellStyle name="Normal 12 3 2 6 2" xfId="6737" xr:uid="{00000000-0005-0000-0000-0000300E0000}"/>
    <cellStyle name="Normal 12 3 2 6 2 2" xfId="15179" xr:uid="{8E8DE274-402A-4453-8401-5085307E0A17}"/>
    <cellStyle name="Normal 12 3 2 6 3" xfId="10961" xr:uid="{07E94A1C-F705-4646-9843-118FFB809D14}"/>
    <cellStyle name="Normal 12 3 2 7" xfId="4671" xr:uid="{00000000-0005-0000-0000-0000310E0000}"/>
    <cellStyle name="Normal 12 3 2 7 2" xfId="13113" xr:uid="{3EE71824-FDF4-4807-AAD8-AFC6E04A67B8}"/>
    <cellStyle name="Normal 12 3 2 8" xfId="8895" xr:uid="{6D595DB0-3F77-4A67-BD10-10CACAB9CA71}"/>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08C05194-4A0C-4FD5-9994-D44B8E2A3EFC}"/>
    <cellStyle name="Normal 12 3 3 2 3" xfId="11453" xr:uid="{7B5EAD92-8A3F-43EB-882D-5B87A889C44B}"/>
    <cellStyle name="Normal 12 3 3 3" xfId="5084" xr:uid="{00000000-0005-0000-0000-0000350E0000}"/>
    <cellStyle name="Normal 12 3 3 3 2" xfId="13526" xr:uid="{44025288-1CE6-45E1-9D5A-C462C67460D6}"/>
    <cellStyle name="Normal 12 3 3 4" xfId="9308" xr:uid="{5C701F88-0084-4C7A-B629-44B74AEF5680}"/>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FE9CCDB0-2EDC-4F5B-9AE0-B47B089F9629}"/>
    <cellStyle name="Normal 12 3 4 2 3" xfId="11866" xr:uid="{03280428-593F-4015-8609-D56B4C07DC43}"/>
    <cellStyle name="Normal 12 3 4 3" xfId="5497" xr:uid="{00000000-0005-0000-0000-0000390E0000}"/>
    <cellStyle name="Normal 12 3 4 3 2" xfId="13939" xr:uid="{1BAE4B83-A147-427A-9FD0-DFD5FBA31304}"/>
    <cellStyle name="Normal 12 3 4 4" xfId="9721" xr:uid="{9D8F862E-65B5-452E-A532-9755BE182FF7}"/>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036BF7ED-14E5-4FE7-8337-08FB3EA37AD4}"/>
    <cellStyle name="Normal 12 3 5 2 3" xfId="12279" xr:uid="{3BF5DFAF-1DA9-43FB-B9A3-15618B401DE2}"/>
    <cellStyle name="Normal 12 3 5 3" xfId="5910" xr:uid="{00000000-0005-0000-0000-00003D0E0000}"/>
    <cellStyle name="Normal 12 3 5 3 2" xfId="14352" xr:uid="{B58A8D9D-4158-4FC4-AF5B-22E1C6181B26}"/>
    <cellStyle name="Normal 12 3 5 4" xfId="10134" xr:uid="{7ED60A63-4152-423B-89C7-25788E2398E0}"/>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B3A727E6-C723-4885-B89A-52466A1CE2FF}"/>
    <cellStyle name="Normal 12 3 6 2 3" xfId="12692" xr:uid="{2A114CAB-CB1A-4495-A470-F98A375571A6}"/>
    <cellStyle name="Normal 12 3 6 3" xfId="6323" xr:uid="{00000000-0005-0000-0000-0000410E0000}"/>
    <cellStyle name="Normal 12 3 6 3 2" xfId="14765" xr:uid="{388B2A5A-AE28-4831-A9ED-9B19F0129515}"/>
    <cellStyle name="Normal 12 3 6 4" xfId="10547" xr:uid="{2F58E53D-0262-475F-8DFD-9D59783F8F49}"/>
    <cellStyle name="Normal 12 3 7" xfId="2452" xr:uid="{00000000-0005-0000-0000-0000420E0000}"/>
    <cellStyle name="Normal 12 3 7 2" xfId="6736" xr:uid="{00000000-0005-0000-0000-0000430E0000}"/>
    <cellStyle name="Normal 12 3 7 2 2" xfId="15178" xr:uid="{7683C95E-78DE-4A2F-8A5F-B3C3C4CBFBD5}"/>
    <cellStyle name="Normal 12 3 7 3" xfId="10960" xr:uid="{E7F7F3F5-6FB7-406B-AD9F-6CE20AA877EA}"/>
    <cellStyle name="Normal 12 3 8" xfId="4670" xr:uid="{00000000-0005-0000-0000-0000440E0000}"/>
    <cellStyle name="Normal 12 3 8 2" xfId="13112" xr:uid="{9BB85F41-3D47-4F4C-94F3-F81AA10AE2D8}"/>
    <cellStyle name="Normal 12 3 9" xfId="8894" xr:uid="{330D08DB-F0E2-4ACD-B554-F52A1D8C5715}"/>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E81A6FE4-9372-4C40-8016-8C145D0A3514}"/>
    <cellStyle name="Normal 12 4 2 2 3" xfId="11455" xr:uid="{79A2D4F1-6BBF-4E3B-BDEE-AACFEAF880F2}"/>
    <cellStyle name="Normal 12 4 2 3" xfId="5086" xr:uid="{00000000-0005-0000-0000-0000490E0000}"/>
    <cellStyle name="Normal 12 4 2 3 2" xfId="13528" xr:uid="{210620F7-B5CB-4048-98F3-C8AC7A068F42}"/>
    <cellStyle name="Normal 12 4 2 4" xfId="9310" xr:uid="{EE1858AD-1964-4C67-A2EB-CA5360457BF3}"/>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21CBA8D2-F6B4-4A18-B92E-BC61D78CB139}"/>
    <cellStyle name="Normal 12 4 3 2 3" xfId="11868" xr:uid="{CFFF8D7F-87EF-443D-AB7C-B044CB298585}"/>
    <cellStyle name="Normal 12 4 3 3" xfId="5499" xr:uid="{00000000-0005-0000-0000-00004D0E0000}"/>
    <cellStyle name="Normal 12 4 3 3 2" xfId="13941" xr:uid="{28E27ADF-C314-4D6F-A735-08AE25A283AD}"/>
    <cellStyle name="Normal 12 4 3 4" xfId="9723" xr:uid="{54BF9CD0-EE07-44DA-B869-7387F1F4A60F}"/>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D561AA00-FF86-44B1-A402-E27FD99024E0}"/>
    <cellStyle name="Normal 12 4 4 2 3" xfId="12281" xr:uid="{E31D2C12-970A-4B53-9EEF-34D259E7346F}"/>
    <cellStyle name="Normal 12 4 4 3" xfId="5912" xr:uid="{00000000-0005-0000-0000-0000510E0000}"/>
    <cellStyle name="Normal 12 4 4 3 2" xfId="14354" xr:uid="{A589CD56-59E1-4FB9-AD6C-AE60D79CB72E}"/>
    <cellStyle name="Normal 12 4 4 4" xfId="10136" xr:uid="{C475C00A-0103-4765-8739-83320BEB5923}"/>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73F94287-EE36-4986-9E98-A2FA3F487DDF}"/>
    <cellStyle name="Normal 12 4 5 2 3" xfId="12694" xr:uid="{21916F0B-58AD-47F4-8DE7-21F5C37BC7BB}"/>
    <cellStyle name="Normal 12 4 5 3" xfId="6325" xr:uid="{00000000-0005-0000-0000-0000550E0000}"/>
    <cellStyle name="Normal 12 4 5 3 2" xfId="14767" xr:uid="{AEA38B24-C830-40C0-9546-49AD861989CE}"/>
    <cellStyle name="Normal 12 4 5 4" xfId="10549" xr:uid="{0F5CFD63-B3FA-4583-B0A7-9E80C2CFA11B}"/>
    <cellStyle name="Normal 12 4 6" xfId="2454" xr:uid="{00000000-0005-0000-0000-0000560E0000}"/>
    <cellStyle name="Normal 12 4 6 2" xfId="6738" xr:uid="{00000000-0005-0000-0000-0000570E0000}"/>
    <cellStyle name="Normal 12 4 6 2 2" xfId="15180" xr:uid="{6EB06BCB-C6B7-4FB3-8BB4-A89049EF11D5}"/>
    <cellStyle name="Normal 12 4 6 3" xfId="10962" xr:uid="{F114587B-D6CF-4B15-87A5-7BE3907D469B}"/>
    <cellStyle name="Normal 12 4 7" xfId="4672" xr:uid="{00000000-0005-0000-0000-0000580E0000}"/>
    <cellStyle name="Normal 12 4 7 2" xfId="13114" xr:uid="{65883B7D-DD75-4EA2-B281-BFDD5782D98C}"/>
    <cellStyle name="Normal 12 4 8" xfId="8896" xr:uid="{7BF5ABCC-142D-48AE-A5A0-30CEE5F80B2B}"/>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9EBC7231-322B-4745-A815-996CFE98AEBD}"/>
    <cellStyle name="Normal 12 6 2 3" xfId="11448" xr:uid="{BF4DCF82-DAB1-4EE2-9480-33CE80E4E1C9}"/>
    <cellStyle name="Normal 12 6 3" xfId="5079" xr:uid="{00000000-0005-0000-0000-00005D0E0000}"/>
    <cellStyle name="Normal 12 6 3 2" xfId="13521" xr:uid="{DCB0D586-831C-46E5-81D9-E483110EBEC2}"/>
    <cellStyle name="Normal 12 6 4" xfId="9303" xr:uid="{E8041B06-D7E0-436B-8317-04DC3CFFB048}"/>
    <cellStyle name="Normal 12 7" xfId="1183" xr:uid="{00000000-0005-0000-0000-00005E0E0000}"/>
    <cellStyle name="Normal 12 7 2" xfId="3414" xr:uid="{00000000-0005-0000-0000-00005F0E0000}"/>
    <cellStyle name="Normal 12 7 2 2" xfId="7637" xr:uid="{00000000-0005-0000-0000-0000600E0000}"/>
    <cellStyle name="Normal 12 7 2 2 2" xfId="16079" xr:uid="{008D899E-5C05-4490-A288-FEB4084EA908}"/>
    <cellStyle name="Normal 12 7 2 3" xfId="11861" xr:uid="{7D415D76-BA58-480E-A13B-DEE717A4B495}"/>
    <cellStyle name="Normal 12 7 3" xfId="5492" xr:uid="{00000000-0005-0000-0000-0000610E0000}"/>
    <cellStyle name="Normal 12 7 3 2" xfId="13934" xr:uid="{B6637D1F-B30D-460F-8389-177788E9DC72}"/>
    <cellStyle name="Normal 12 7 4" xfId="9716" xr:uid="{2B969C19-C24C-4D48-9633-690CD038B690}"/>
    <cellStyle name="Normal 12 8" xfId="1597" xr:uid="{00000000-0005-0000-0000-0000620E0000}"/>
    <cellStyle name="Normal 12 8 2" xfId="3827" xr:uid="{00000000-0005-0000-0000-0000630E0000}"/>
    <cellStyle name="Normal 12 8 2 2" xfId="8050" xr:uid="{00000000-0005-0000-0000-0000640E0000}"/>
    <cellStyle name="Normal 12 8 2 2 2" xfId="16492" xr:uid="{FDDE18B9-28EA-416C-936C-B7DDF822CF55}"/>
    <cellStyle name="Normal 12 8 2 3" xfId="12274" xr:uid="{2A3A42A4-134E-4D2C-8DE1-9724E78FB0E4}"/>
    <cellStyle name="Normal 12 8 3" xfId="5905" xr:uid="{00000000-0005-0000-0000-0000650E0000}"/>
    <cellStyle name="Normal 12 8 3 2" xfId="14347" xr:uid="{0B34172B-0057-4650-B241-990EF302208A}"/>
    <cellStyle name="Normal 12 8 4" xfId="10129" xr:uid="{11E21043-5343-400C-A4AD-3C25EFA00B88}"/>
    <cellStyle name="Normal 12 9" xfId="2011" xr:uid="{00000000-0005-0000-0000-0000660E0000}"/>
    <cellStyle name="Normal 12 9 2" xfId="4240" xr:uid="{00000000-0005-0000-0000-0000670E0000}"/>
    <cellStyle name="Normal 12 9 2 2" xfId="8463" xr:uid="{00000000-0005-0000-0000-0000680E0000}"/>
    <cellStyle name="Normal 12 9 2 2 2" xfId="16905" xr:uid="{4E173097-DAD7-4EF0-B4A2-176847C1FC17}"/>
    <cellStyle name="Normal 12 9 2 3" xfId="12687" xr:uid="{CFC6E341-55F7-4149-99C4-6D342716B78C}"/>
    <cellStyle name="Normal 12 9 3" xfId="6318" xr:uid="{00000000-0005-0000-0000-0000690E0000}"/>
    <cellStyle name="Normal 12 9 3 2" xfId="14760" xr:uid="{1C3CE22A-B458-4E2E-8E64-008977831A6B}"/>
    <cellStyle name="Normal 12 9 4" xfId="10542" xr:uid="{DD2F9886-F5D1-4636-B4C0-91CC06DC94A4}"/>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B6923F30-28DD-4721-8963-F3E3CE699B53}"/>
    <cellStyle name="Normal 14 2 2 3" xfId="11456" xr:uid="{063BD8B8-BDFA-4A79-83B2-566E69E3DE7D}"/>
    <cellStyle name="Normal 14 2 3" xfId="5087" xr:uid="{00000000-0005-0000-0000-0000700E0000}"/>
    <cellStyle name="Normal 14 2 3 2" xfId="13529" xr:uid="{B7B6371F-F4E2-4F0B-BE0E-31041559F3B1}"/>
    <cellStyle name="Normal 14 2 4" xfId="9311" xr:uid="{C0C63220-0694-47DB-834F-2F7AB5648145}"/>
    <cellStyle name="Normal 14 3" xfId="1191" xr:uid="{00000000-0005-0000-0000-0000710E0000}"/>
    <cellStyle name="Normal 14 3 2" xfId="3422" xr:uid="{00000000-0005-0000-0000-0000720E0000}"/>
    <cellStyle name="Normal 14 3 2 2" xfId="7645" xr:uid="{00000000-0005-0000-0000-0000730E0000}"/>
    <cellStyle name="Normal 14 3 2 2 2" xfId="16087" xr:uid="{AE03E566-9A85-421E-87F2-4742A1FD9715}"/>
    <cellStyle name="Normal 14 3 2 3" xfId="11869" xr:uid="{833204ED-31FF-4361-8844-BD7A67183597}"/>
    <cellStyle name="Normal 14 3 3" xfId="5500" xr:uid="{00000000-0005-0000-0000-0000740E0000}"/>
    <cellStyle name="Normal 14 3 3 2" xfId="13942" xr:uid="{7762406C-AF10-4478-858D-33F0853BF00E}"/>
    <cellStyle name="Normal 14 3 4" xfId="9724" xr:uid="{F12263CB-1CA3-42A1-9575-DD1F5660D05F}"/>
    <cellStyle name="Normal 14 4" xfId="1605" xr:uid="{00000000-0005-0000-0000-0000750E0000}"/>
    <cellStyle name="Normal 14 4 2" xfId="3835" xr:uid="{00000000-0005-0000-0000-0000760E0000}"/>
    <cellStyle name="Normal 14 4 2 2" xfId="8058" xr:uid="{00000000-0005-0000-0000-0000770E0000}"/>
    <cellStyle name="Normal 14 4 2 2 2" xfId="16500" xr:uid="{C92932F6-4B92-46EB-916E-22E2DCDE689A}"/>
    <cellStyle name="Normal 14 4 2 3" xfId="12282" xr:uid="{40DD910C-05C4-4761-B84C-A9B36C04798E}"/>
    <cellStyle name="Normal 14 4 3" xfId="5913" xr:uid="{00000000-0005-0000-0000-0000780E0000}"/>
    <cellStyle name="Normal 14 4 3 2" xfId="14355" xr:uid="{D5DE56CD-D72A-494A-A429-1B482F0CFE92}"/>
    <cellStyle name="Normal 14 4 4" xfId="10137" xr:uid="{4A16D8E7-65AC-4D31-85BF-876A6A8E6177}"/>
    <cellStyle name="Normal 14 5" xfId="2019" xr:uid="{00000000-0005-0000-0000-0000790E0000}"/>
    <cellStyle name="Normal 14 5 2" xfId="4248" xr:uid="{00000000-0005-0000-0000-00007A0E0000}"/>
    <cellStyle name="Normal 14 5 2 2" xfId="8471" xr:uid="{00000000-0005-0000-0000-00007B0E0000}"/>
    <cellStyle name="Normal 14 5 2 2 2" xfId="16913" xr:uid="{DDE06D44-F945-4141-8123-AF01E58E96F1}"/>
    <cellStyle name="Normal 14 5 2 3" xfId="12695" xr:uid="{68CDEE12-36A6-4037-8901-F252D521BA87}"/>
    <cellStyle name="Normal 14 5 3" xfId="6326" xr:uid="{00000000-0005-0000-0000-00007C0E0000}"/>
    <cellStyle name="Normal 14 5 3 2" xfId="14768" xr:uid="{92426620-7E0B-4D17-A7F1-141018935BB5}"/>
    <cellStyle name="Normal 14 5 4" xfId="10550" xr:uid="{1066A3E7-32AD-4FCD-8B6F-9EE463246913}"/>
    <cellStyle name="Normal 14 6" xfId="2455" xr:uid="{00000000-0005-0000-0000-00007D0E0000}"/>
    <cellStyle name="Normal 14 6 2" xfId="6739" xr:uid="{00000000-0005-0000-0000-00007E0E0000}"/>
    <cellStyle name="Normal 14 6 2 2" xfId="15181" xr:uid="{DC5D0B7A-DC5F-4182-8077-B3232F64A804}"/>
    <cellStyle name="Normal 14 6 3" xfId="10963" xr:uid="{C0D86CD9-31A4-4F7D-A3FC-A031385F8EAC}"/>
    <cellStyle name="Normal 14 7" xfId="4673" xr:uid="{00000000-0005-0000-0000-00007F0E0000}"/>
    <cellStyle name="Normal 14 7 2" xfId="13115" xr:uid="{92AA7E8C-5932-4CD7-B7FC-882969785C50}"/>
    <cellStyle name="Normal 14 8" xfId="8897" xr:uid="{F56986E2-A76A-4F9E-90F2-753D9AE529F3}"/>
    <cellStyle name="Normal 15" xfId="4496" xr:uid="{00000000-0005-0000-0000-0000800E0000}"/>
    <cellStyle name="Normal 15 2" xfId="12941" xr:uid="{69C29B6D-8C60-4507-AFF7-2504402DB664}"/>
    <cellStyle name="Normal 16" xfId="4500" xr:uid="{00000000-0005-0000-0000-0000810E0000}"/>
    <cellStyle name="Normal 16 2" xfId="8716" xr:uid="{00000000-0005-0000-0000-0000820E0000}"/>
    <cellStyle name="Normal 16 2 2" xfId="17158" xr:uid="{053954B6-AD21-471C-87D2-4A45DF88B11E}"/>
    <cellStyle name="Normal 16 3" xfId="8719" xr:uid="{3DE1BEEB-61FA-4094-B10F-9E0444F68763}"/>
    <cellStyle name="Normal 16 3 2" xfId="8723" xr:uid="{FE0BC069-4698-40B2-814D-8E09719245E9}"/>
    <cellStyle name="Normal 16 3 2 2" xfId="8726" xr:uid="{D3E9609F-293A-4CFC-B194-1FF2F92D621D}"/>
    <cellStyle name="Normal 16 3 2 2 2" xfId="17167" xr:uid="{803FC049-9A47-47BF-B038-5E00AC0CDB67}"/>
    <cellStyle name="Normal 16 3 2 3" xfId="17164" xr:uid="{C5D2DD14-FEA6-484C-A5C0-F2120D178F12}"/>
    <cellStyle name="Normal 16 3 3" xfId="17161" xr:uid="{ED706D74-8A0A-48F8-B1BB-5916B048602B}"/>
    <cellStyle name="Normal 16 4" xfId="12944" xr:uid="{EC51C1D8-602C-4504-ABD1-2C6DA1767F85}"/>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2D8B4385-854D-4EFC-A0F7-379BE3234F31}"/>
    <cellStyle name="Normal 2 4 2 10 2 3" xfId="12696" xr:uid="{969FD0BE-9742-42F9-8FB6-7ADB3FC56642}"/>
    <cellStyle name="Normal 2 4 2 10 3" xfId="6327" xr:uid="{00000000-0005-0000-0000-0000910E0000}"/>
    <cellStyle name="Normal 2 4 2 10 3 2" xfId="14769" xr:uid="{B48783B8-5B6B-4C5B-B4C0-3468E6B45BB3}"/>
    <cellStyle name="Normal 2 4 2 10 4" xfId="10551" xr:uid="{E3AAA7AB-799E-4920-9A43-1DE23AD63907}"/>
    <cellStyle name="Normal 2 4 2 11" xfId="2456" xr:uid="{00000000-0005-0000-0000-0000920E0000}"/>
    <cellStyle name="Normal 2 4 2 11 2" xfId="6740" xr:uid="{00000000-0005-0000-0000-0000930E0000}"/>
    <cellStyle name="Normal 2 4 2 11 2 2" xfId="15182" xr:uid="{FF8CF4D1-1757-4802-A11B-8B7BFF27E3E7}"/>
    <cellStyle name="Normal 2 4 2 11 3" xfId="10964" xr:uid="{F3B16B04-667F-4927-BC77-3ED9745575C7}"/>
    <cellStyle name="Normal 2 4 2 12" xfId="4674" xr:uid="{00000000-0005-0000-0000-0000940E0000}"/>
    <cellStyle name="Normal 2 4 2 12 2" xfId="13116" xr:uid="{EC5A417C-D569-44DB-82F5-B7123CDCEBA7}"/>
    <cellStyle name="Normal 2 4 2 13" xfId="8898" xr:uid="{01490C11-A5BF-4BEC-9AFF-75BA18E264E4}"/>
    <cellStyle name="Normal 2 4 2 2" xfId="280" xr:uid="{00000000-0005-0000-0000-0000950E0000}"/>
    <cellStyle name="Normal 2 4 2 3" xfId="281" xr:uid="{00000000-0005-0000-0000-0000960E0000}"/>
    <cellStyle name="Normal 2 4 2 3 10" xfId="4675" xr:uid="{00000000-0005-0000-0000-0000970E0000}"/>
    <cellStyle name="Normal 2 4 2 3 10 2" xfId="13117" xr:uid="{C74A4F1A-9558-4F31-92E6-954BB1E060B2}"/>
    <cellStyle name="Normal 2 4 2 3 11" xfId="8899" xr:uid="{4B50D7AD-F0AD-4AF2-82A1-E8DF2A724B76}"/>
    <cellStyle name="Normal 2 4 2 3 2" xfId="282" xr:uid="{00000000-0005-0000-0000-0000980E0000}"/>
    <cellStyle name="Normal 2 4 2 3 2 10" xfId="8900" xr:uid="{201FDD4E-6C40-4467-AFD6-1884349D24D6}"/>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E3532AD5-6A39-40C6-86A9-0BD08AEE1F50}"/>
    <cellStyle name="Normal 2 4 2 3 2 2 2 2 2 3" xfId="11461" xr:uid="{CCD559B3-9403-4A92-A8C7-7FF2AA54C83F}"/>
    <cellStyle name="Normal 2 4 2 3 2 2 2 2 3" xfId="5092" xr:uid="{00000000-0005-0000-0000-00009E0E0000}"/>
    <cellStyle name="Normal 2 4 2 3 2 2 2 2 3 2" xfId="13534" xr:uid="{787412B7-E30E-4A1C-BDDA-C01F2CAFA11F}"/>
    <cellStyle name="Normal 2 4 2 3 2 2 2 2 4" xfId="9316" xr:uid="{E2EF71E8-BFF3-44B3-B918-0293BD759561}"/>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4304D290-C8A2-4C6F-BD72-CF17B9940670}"/>
    <cellStyle name="Normal 2 4 2 3 2 2 2 3 2 3" xfId="11874" xr:uid="{E38981D2-41DA-41F3-82E7-46D4BDF434B3}"/>
    <cellStyle name="Normal 2 4 2 3 2 2 2 3 3" xfId="5505" xr:uid="{00000000-0005-0000-0000-0000A20E0000}"/>
    <cellStyle name="Normal 2 4 2 3 2 2 2 3 3 2" xfId="13947" xr:uid="{B31A500D-1952-4D0F-920E-76D613B3BDA0}"/>
    <cellStyle name="Normal 2 4 2 3 2 2 2 3 4" xfId="9729" xr:uid="{909F88F9-9D6B-4AE3-B68F-F186B30C8CEE}"/>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9F571313-D2BA-4354-B1A3-A8979C61F388}"/>
    <cellStyle name="Normal 2 4 2 3 2 2 2 4 2 3" xfId="12287" xr:uid="{A21F10DA-41C8-4526-A992-DD87D730CDFC}"/>
    <cellStyle name="Normal 2 4 2 3 2 2 2 4 3" xfId="5918" xr:uid="{00000000-0005-0000-0000-0000A60E0000}"/>
    <cellStyle name="Normal 2 4 2 3 2 2 2 4 3 2" xfId="14360" xr:uid="{AA6A83C5-A382-47D8-B305-CAA25FD46191}"/>
    <cellStyle name="Normal 2 4 2 3 2 2 2 4 4" xfId="10142" xr:uid="{6B7441DB-65D3-4A3C-AF69-55BD1446B719}"/>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2ADB87B1-F642-4A43-98AE-6B7D69231F2E}"/>
    <cellStyle name="Normal 2 4 2 3 2 2 2 5 2 3" xfId="12700" xr:uid="{94A4B982-7726-4CF5-9282-6FDB2200449D}"/>
    <cellStyle name="Normal 2 4 2 3 2 2 2 5 3" xfId="6331" xr:uid="{00000000-0005-0000-0000-0000AA0E0000}"/>
    <cellStyle name="Normal 2 4 2 3 2 2 2 5 3 2" xfId="14773" xr:uid="{4146E6BC-BE27-47D9-88E5-8E0FB3523076}"/>
    <cellStyle name="Normal 2 4 2 3 2 2 2 5 4" xfId="10555" xr:uid="{53CE5152-3446-407C-9E0C-545E495B55D4}"/>
    <cellStyle name="Normal 2 4 2 3 2 2 2 6" xfId="2460" xr:uid="{00000000-0005-0000-0000-0000AB0E0000}"/>
    <cellStyle name="Normal 2 4 2 3 2 2 2 6 2" xfId="6744" xr:uid="{00000000-0005-0000-0000-0000AC0E0000}"/>
    <cellStyle name="Normal 2 4 2 3 2 2 2 6 2 2" xfId="15186" xr:uid="{96A6539B-46AE-4EA0-8584-AD7E9A7793DC}"/>
    <cellStyle name="Normal 2 4 2 3 2 2 2 6 3" xfId="10968" xr:uid="{28A95A78-37BD-4EEA-A659-2B2242EFE6FE}"/>
    <cellStyle name="Normal 2 4 2 3 2 2 2 7" xfId="4678" xr:uid="{00000000-0005-0000-0000-0000AD0E0000}"/>
    <cellStyle name="Normal 2 4 2 3 2 2 2 7 2" xfId="13120" xr:uid="{D4F9083E-5794-43C5-B73A-5A990018F7A1}"/>
    <cellStyle name="Normal 2 4 2 3 2 2 2 8" xfId="8902" xr:uid="{55B9F349-72F6-4EC0-8DE8-53412FDFEDAB}"/>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670C597B-D25D-469F-9DE9-81093C3E5999}"/>
    <cellStyle name="Normal 2 4 2 3 2 2 3 2 3" xfId="11460" xr:uid="{A0C6E440-FA0E-44BD-BAFD-06BD1E9C5EEA}"/>
    <cellStyle name="Normal 2 4 2 3 2 2 3 3" xfId="5091" xr:uid="{00000000-0005-0000-0000-0000B10E0000}"/>
    <cellStyle name="Normal 2 4 2 3 2 2 3 3 2" xfId="13533" xr:uid="{0FD28C40-C209-4189-9ACC-9208D18A1185}"/>
    <cellStyle name="Normal 2 4 2 3 2 2 3 4" xfId="9315" xr:uid="{2D337F85-C75F-4E9F-9387-211F70AEBB8B}"/>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323B13C8-55BF-477A-9054-4133B6D38D12}"/>
    <cellStyle name="Normal 2 4 2 3 2 2 4 2 3" xfId="11873" xr:uid="{982492FE-A941-4761-84D0-BB6700CFF2DD}"/>
    <cellStyle name="Normal 2 4 2 3 2 2 4 3" xfId="5504" xr:uid="{00000000-0005-0000-0000-0000B50E0000}"/>
    <cellStyle name="Normal 2 4 2 3 2 2 4 3 2" xfId="13946" xr:uid="{FBEE67FA-D921-4F0A-A865-6AB38236054B}"/>
    <cellStyle name="Normal 2 4 2 3 2 2 4 4" xfId="9728" xr:uid="{2D00C3EF-67BF-4360-9AE4-CC1B9B40E12F}"/>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2DAD3C70-74D0-4D74-B98C-D20AE9860587}"/>
    <cellStyle name="Normal 2 4 2 3 2 2 5 2 3" xfId="12286" xr:uid="{4FD86053-7BA1-41F7-9E80-082E78F9C00A}"/>
    <cellStyle name="Normal 2 4 2 3 2 2 5 3" xfId="5917" xr:uid="{00000000-0005-0000-0000-0000B90E0000}"/>
    <cellStyle name="Normal 2 4 2 3 2 2 5 3 2" xfId="14359" xr:uid="{5BF37208-94D8-430E-921D-9EC59A6A479F}"/>
    <cellStyle name="Normal 2 4 2 3 2 2 5 4" xfId="10141" xr:uid="{F456FA96-3E16-4868-B9A9-4D50CB882ABC}"/>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D619912D-789D-48BF-BA0A-666166D749B5}"/>
    <cellStyle name="Normal 2 4 2 3 2 2 6 2 3" xfId="12699" xr:uid="{3BFB6391-899E-4A23-AF39-21E6C285271C}"/>
    <cellStyle name="Normal 2 4 2 3 2 2 6 3" xfId="6330" xr:uid="{00000000-0005-0000-0000-0000BD0E0000}"/>
    <cellStyle name="Normal 2 4 2 3 2 2 6 3 2" xfId="14772" xr:uid="{AF65436A-12DE-45FD-9237-64A6B20DB48C}"/>
    <cellStyle name="Normal 2 4 2 3 2 2 6 4" xfId="10554" xr:uid="{2B5E7F29-468A-4141-9E2D-9BA7E89CCB2A}"/>
    <cellStyle name="Normal 2 4 2 3 2 2 7" xfId="2459" xr:uid="{00000000-0005-0000-0000-0000BE0E0000}"/>
    <cellStyle name="Normal 2 4 2 3 2 2 7 2" xfId="6743" xr:uid="{00000000-0005-0000-0000-0000BF0E0000}"/>
    <cellStyle name="Normal 2 4 2 3 2 2 7 2 2" xfId="15185" xr:uid="{8CFC6CAE-6352-4FDE-A573-16CA07DCF9EB}"/>
    <cellStyle name="Normal 2 4 2 3 2 2 7 3" xfId="10967" xr:uid="{57553258-2093-4894-ADEF-07D768F83D00}"/>
    <cellStyle name="Normal 2 4 2 3 2 2 8" xfId="4677" xr:uid="{00000000-0005-0000-0000-0000C00E0000}"/>
    <cellStyle name="Normal 2 4 2 3 2 2 8 2" xfId="13119" xr:uid="{7225D901-EB29-4B32-9E99-8CC1A9F4B454}"/>
    <cellStyle name="Normal 2 4 2 3 2 2 9" xfId="8901" xr:uid="{DAF4FD8A-B6E6-4925-A958-4A38D0885ABE}"/>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79A21D5B-6D67-460F-BF93-01EAF7EDC442}"/>
    <cellStyle name="Normal 2 4 2 3 2 3 2 2 3" xfId="11462" xr:uid="{0713B20D-6BC0-48D4-9D23-55805AB03C63}"/>
    <cellStyle name="Normal 2 4 2 3 2 3 2 3" xfId="5093" xr:uid="{00000000-0005-0000-0000-0000C50E0000}"/>
    <cellStyle name="Normal 2 4 2 3 2 3 2 3 2" xfId="13535" xr:uid="{BE44F4D6-14D5-4D2F-AB61-0F5938E2D949}"/>
    <cellStyle name="Normal 2 4 2 3 2 3 2 4" xfId="9317" xr:uid="{0A516A85-E265-4119-BDBB-79EF78776DEA}"/>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CB3248C8-5C37-4D5C-8132-541B0C379617}"/>
    <cellStyle name="Normal 2 4 2 3 2 3 3 2 3" xfId="11875" xr:uid="{AAFA5A03-F7EF-4BA8-ABF9-BC19C512DD60}"/>
    <cellStyle name="Normal 2 4 2 3 2 3 3 3" xfId="5506" xr:uid="{00000000-0005-0000-0000-0000C90E0000}"/>
    <cellStyle name="Normal 2 4 2 3 2 3 3 3 2" xfId="13948" xr:uid="{5C58A302-9055-4AD9-BD04-2E04E3EEF115}"/>
    <cellStyle name="Normal 2 4 2 3 2 3 3 4" xfId="9730" xr:uid="{D6AF7C88-82F9-406E-B414-0573F9C64722}"/>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AE4FF423-C583-4D78-A513-B838394BEC5A}"/>
    <cellStyle name="Normal 2 4 2 3 2 3 4 2 3" xfId="12288" xr:uid="{9112FCDE-8F18-4763-8DB4-EBA61B4B8070}"/>
    <cellStyle name="Normal 2 4 2 3 2 3 4 3" xfId="5919" xr:uid="{00000000-0005-0000-0000-0000CD0E0000}"/>
    <cellStyle name="Normal 2 4 2 3 2 3 4 3 2" xfId="14361" xr:uid="{2D602196-B721-447F-8937-10F8C03B4CA6}"/>
    <cellStyle name="Normal 2 4 2 3 2 3 4 4" xfId="10143" xr:uid="{0735079C-6BF6-4C1B-A190-1A669D6C1D45}"/>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2D8927C1-5F28-4AC1-87FF-E1C31ECB4D1C}"/>
    <cellStyle name="Normal 2 4 2 3 2 3 5 2 3" xfId="12701" xr:uid="{1B96E86B-7D15-4779-A5FD-EE729DC8204B}"/>
    <cellStyle name="Normal 2 4 2 3 2 3 5 3" xfId="6332" xr:uid="{00000000-0005-0000-0000-0000D10E0000}"/>
    <cellStyle name="Normal 2 4 2 3 2 3 5 3 2" xfId="14774" xr:uid="{18E7A86D-8485-4E56-969A-53378187C19D}"/>
    <cellStyle name="Normal 2 4 2 3 2 3 5 4" xfId="10556" xr:uid="{E0CD61FD-1583-4B9B-B49F-B904F67739D8}"/>
    <cellStyle name="Normal 2 4 2 3 2 3 6" xfId="2461" xr:uid="{00000000-0005-0000-0000-0000D20E0000}"/>
    <cellStyle name="Normal 2 4 2 3 2 3 6 2" xfId="6745" xr:uid="{00000000-0005-0000-0000-0000D30E0000}"/>
    <cellStyle name="Normal 2 4 2 3 2 3 6 2 2" xfId="15187" xr:uid="{4F6D9FFF-2909-413F-B6DF-2BF21BE0DD78}"/>
    <cellStyle name="Normal 2 4 2 3 2 3 6 3" xfId="10969" xr:uid="{B96A8736-0D89-4082-8862-8D416F095C17}"/>
    <cellStyle name="Normal 2 4 2 3 2 3 7" xfId="4679" xr:uid="{00000000-0005-0000-0000-0000D40E0000}"/>
    <cellStyle name="Normal 2 4 2 3 2 3 7 2" xfId="13121" xr:uid="{33CAA049-6868-4046-94E1-825C4A5DB544}"/>
    <cellStyle name="Normal 2 4 2 3 2 3 8" xfId="8903" xr:uid="{8C9F62FC-37D8-477C-BBCB-2796D989ED5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C4570E30-B4CE-4159-8E4E-A52D1BAB319D}"/>
    <cellStyle name="Normal 2 4 2 3 2 4 2 3" xfId="11459" xr:uid="{9E6978E5-8624-4029-BDC5-E31FC4DE3814}"/>
    <cellStyle name="Normal 2 4 2 3 2 4 3" xfId="5090" xr:uid="{00000000-0005-0000-0000-0000D80E0000}"/>
    <cellStyle name="Normal 2 4 2 3 2 4 3 2" xfId="13532" xr:uid="{EAA3EBD5-17F3-4A25-8716-516BA5E1139D}"/>
    <cellStyle name="Normal 2 4 2 3 2 4 4" xfId="9314" xr:uid="{B9FC72E5-2601-4628-AEF6-E89CDF0200B4}"/>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01458936-105F-4A68-8665-CE95D584D2E4}"/>
    <cellStyle name="Normal 2 4 2 3 2 5 2 3" xfId="11872" xr:uid="{EC27DB7F-C5A1-4AA4-8A0F-37C6C2E7E7D3}"/>
    <cellStyle name="Normal 2 4 2 3 2 5 3" xfId="5503" xr:uid="{00000000-0005-0000-0000-0000DC0E0000}"/>
    <cellStyle name="Normal 2 4 2 3 2 5 3 2" xfId="13945" xr:uid="{DE8A7542-BB0A-43C9-9726-56606A64E064}"/>
    <cellStyle name="Normal 2 4 2 3 2 5 4" xfId="9727" xr:uid="{EB4EF15C-B682-4DD3-BD1F-AC213A6236F7}"/>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F08DAA0B-3B7C-49BF-891F-EB050238DD4F}"/>
    <cellStyle name="Normal 2 4 2 3 2 6 2 3" xfId="12285" xr:uid="{C97E2373-E946-4E2F-B39D-5D3647877075}"/>
    <cellStyle name="Normal 2 4 2 3 2 6 3" xfId="5916" xr:uid="{00000000-0005-0000-0000-0000E00E0000}"/>
    <cellStyle name="Normal 2 4 2 3 2 6 3 2" xfId="14358" xr:uid="{C469CBB2-6A45-4CCE-B975-42BB33CB9DF3}"/>
    <cellStyle name="Normal 2 4 2 3 2 6 4" xfId="10140" xr:uid="{791321D3-5E1B-4DDC-82E4-FE77F64C6BA7}"/>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8DB9FE1E-5ECE-430C-8AE1-C981B1F0198D}"/>
    <cellStyle name="Normal 2 4 2 3 2 7 2 3" xfId="12698" xr:uid="{731A22BE-DDFA-49A3-8679-9219740BB72C}"/>
    <cellStyle name="Normal 2 4 2 3 2 7 3" xfId="6329" xr:uid="{00000000-0005-0000-0000-0000E40E0000}"/>
    <cellStyle name="Normal 2 4 2 3 2 7 3 2" xfId="14771" xr:uid="{F6776B60-5C92-4BAF-9F9C-423D66103B40}"/>
    <cellStyle name="Normal 2 4 2 3 2 7 4" xfId="10553" xr:uid="{99836474-5F80-49E8-9FE3-A73A5CD5B345}"/>
    <cellStyle name="Normal 2 4 2 3 2 8" xfId="2458" xr:uid="{00000000-0005-0000-0000-0000E50E0000}"/>
    <cellStyle name="Normal 2 4 2 3 2 8 2" xfId="6742" xr:uid="{00000000-0005-0000-0000-0000E60E0000}"/>
    <cellStyle name="Normal 2 4 2 3 2 8 2 2" xfId="15184" xr:uid="{50D6013D-8479-4FEE-889A-3B1B7A1645CD}"/>
    <cellStyle name="Normal 2 4 2 3 2 8 3" xfId="10966" xr:uid="{42DBBAFA-C6F7-41B7-AF92-AD964867A7A5}"/>
    <cellStyle name="Normal 2 4 2 3 2 9" xfId="4676" xr:uid="{00000000-0005-0000-0000-0000E70E0000}"/>
    <cellStyle name="Normal 2 4 2 3 2 9 2" xfId="13118" xr:uid="{41129923-38D0-49F4-BD1D-8F77E6373723}"/>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2A8B6E83-0237-42D8-998F-E826A4A7F5BA}"/>
    <cellStyle name="Normal 2 4 2 3 3 2 2 2 3" xfId="11464" xr:uid="{B589DE94-95E9-42E1-B2DC-B4F8490B2A89}"/>
    <cellStyle name="Normal 2 4 2 3 3 2 2 3" xfId="5095" xr:uid="{00000000-0005-0000-0000-0000ED0E0000}"/>
    <cellStyle name="Normal 2 4 2 3 3 2 2 3 2" xfId="13537" xr:uid="{752DAE90-6BC3-4565-9F11-187F42F3D895}"/>
    <cellStyle name="Normal 2 4 2 3 3 2 2 4" xfId="9319" xr:uid="{1B21A66E-9A3D-4F58-AFB6-41D68412B16C}"/>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ADFC0EED-E9F3-4E66-9DE9-442ABD0F9918}"/>
    <cellStyle name="Normal 2 4 2 3 3 2 3 2 3" xfId="11877" xr:uid="{3296913C-7501-4DFE-AA53-868659D762E1}"/>
    <cellStyle name="Normal 2 4 2 3 3 2 3 3" xfId="5508" xr:uid="{00000000-0005-0000-0000-0000F10E0000}"/>
    <cellStyle name="Normal 2 4 2 3 3 2 3 3 2" xfId="13950" xr:uid="{A628C27E-816D-4E72-BBDB-E5D9A9AB5F5E}"/>
    <cellStyle name="Normal 2 4 2 3 3 2 3 4" xfId="9732" xr:uid="{CEE1C0AD-2412-4D7D-A704-8E32597540D9}"/>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2CE763C0-9658-4316-BA0E-C4D3B5FEB1C6}"/>
    <cellStyle name="Normal 2 4 2 3 3 2 4 2 3" xfId="12290" xr:uid="{8BF20082-9080-4F1C-B061-76337208A801}"/>
    <cellStyle name="Normal 2 4 2 3 3 2 4 3" xfId="5921" xr:uid="{00000000-0005-0000-0000-0000F50E0000}"/>
    <cellStyle name="Normal 2 4 2 3 3 2 4 3 2" xfId="14363" xr:uid="{3890B2E0-D418-4956-AE58-14CB43BC50BC}"/>
    <cellStyle name="Normal 2 4 2 3 3 2 4 4" xfId="10145" xr:uid="{B1991500-86C4-45FE-9CEC-F02C031F66D8}"/>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FF1CA3E4-5BD9-44B6-A428-45BAD90A3B72}"/>
    <cellStyle name="Normal 2 4 2 3 3 2 5 2 3" xfId="12703" xr:uid="{DD6B89D0-1006-4DBD-8F9E-399D805D8230}"/>
    <cellStyle name="Normal 2 4 2 3 3 2 5 3" xfId="6334" xr:uid="{00000000-0005-0000-0000-0000F90E0000}"/>
    <cellStyle name="Normal 2 4 2 3 3 2 5 3 2" xfId="14776" xr:uid="{5D54E01E-D097-45DE-8D93-964018C36F5E}"/>
    <cellStyle name="Normal 2 4 2 3 3 2 5 4" xfId="10558" xr:uid="{B024084A-60ED-446E-9983-8D4E20C3F7DC}"/>
    <cellStyle name="Normal 2 4 2 3 3 2 6" xfId="2463" xr:uid="{00000000-0005-0000-0000-0000FA0E0000}"/>
    <cellStyle name="Normal 2 4 2 3 3 2 6 2" xfId="6747" xr:uid="{00000000-0005-0000-0000-0000FB0E0000}"/>
    <cellStyle name="Normal 2 4 2 3 3 2 6 2 2" xfId="15189" xr:uid="{B32D8F73-AC4F-4FA1-A1B5-F2EADED79673}"/>
    <cellStyle name="Normal 2 4 2 3 3 2 6 3" xfId="10971" xr:uid="{D521D47B-9694-4A0D-864A-C60CEC7F952B}"/>
    <cellStyle name="Normal 2 4 2 3 3 2 7" xfId="4681" xr:uid="{00000000-0005-0000-0000-0000FC0E0000}"/>
    <cellStyle name="Normal 2 4 2 3 3 2 7 2" xfId="13123" xr:uid="{6205F8A2-1CA7-46C6-BB3B-757879E954C0}"/>
    <cellStyle name="Normal 2 4 2 3 3 2 8" xfId="8905" xr:uid="{0AEF02D4-20E4-44D7-B2A2-E9E08EDAA29C}"/>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48334ADE-0724-4617-A845-B7D675C87C54}"/>
    <cellStyle name="Normal 2 4 2 3 3 3 2 3" xfId="11463" xr:uid="{DC092D48-1B95-4EB5-809C-8158B5AD394B}"/>
    <cellStyle name="Normal 2 4 2 3 3 3 3" xfId="5094" xr:uid="{00000000-0005-0000-0000-0000000F0000}"/>
    <cellStyle name="Normal 2 4 2 3 3 3 3 2" xfId="13536" xr:uid="{4621F4A7-1220-494A-9708-9EC71FA741AA}"/>
    <cellStyle name="Normal 2 4 2 3 3 3 4" xfId="9318" xr:uid="{316BF866-43B5-4812-8156-CE70BBE2F68D}"/>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8666E1B1-C22D-48F3-A7E1-BAA02408EE2B}"/>
    <cellStyle name="Normal 2 4 2 3 3 4 2 3" xfId="11876" xr:uid="{779EF6CC-1DAB-41E5-BA98-DAA7AF2822E8}"/>
    <cellStyle name="Normal 2 4 2 3 3 4 3" xfId="5507" xr:uid="{00000000-0005-0000-0000-0000040F0000}"/>
    <cellStyle name="Normal 2 4 2 3 3 4 3 2" xfId="13949" xr:uid="{B568F6DE-9042-4D1F-BF13-FA764F41E3FA}"/>
    <cellStyle name="Normal 2 4 2 3 3 4 4" xfId="9731" xr:uid="{4C55AC2B-C8CD-47E0-A8BB-440C98F7485C}"/>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5D5C7ACB-770F-4319-9BB8-B90E89EC9E35}"/>
    <cellStyle name="Normal 2 4 2 3 3 5 2 3" xfId="12289" xr:uid="{4C227E12-5492-4940-9F04-C9B1840B8006}"/>
    <cellStyle name="Normal 2 4 2 3 3 5 3" xfId="5920" xr:uid="{00000000-0005-0000-0000-0000080F0000}"/>
    <cellStyle name="Normal 2 4 2 3 3 5 3 2" xfId="14362" xr:uid="{9D450A06-D80B-447B-B8BF-E2381BAF7B0D}"/>
    <cellStyle name="Normal 2 4 2 3 3 5 4" xfId="10144" xr:uid="{77B2669B-4139-4089-859F-FD0DD110BF87}"/>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CC981B9B-74FB-4F88-AD1E-65EB7BD83B68}"/>
    <cellStyle name="Normal 2 4 2 3 3 6 2 3" xfId="12702" xr:uid="{A4530074-D7CE-4F90-87DE-BCF82EAF8481}"/>
    <cellStyle name="Normal 2 4 2 3 3 6 3" xfId="6333" xr:uid="{00000000-0005-0000-0000-00000C0F0000}"/>
    <cellStyle name="Normal 2 4 2 3 3 6 3 2" xfId="14775" xr:uid="{F8A24CCF-2DF6-427D-B246-4ADFC4A98E99}"/>
    <cellStyle name="Normal 2 4 2 3 3 6 4" xfId="10557" xr:uid="{BB254511-0856-434B-991D-DA7680D2EF2F}"/>
    <cellStyle name="Normal 2 4 2 3 3 7" xfId="2462" xr:uid="{00000000-0005-0000-0000-00000D0F0000}"/>
    <cellStyle name="Normal 2 4 2 3 3 7 2" xfId="6746" xr:uid="{00000000-0005-0000-0000-00000E0F0000}"/>
    <cellStyle name="Normal 2 4 2 3 3 7 2 2" xfId="15188" xr:uid="{854D20A5-ECF3-49D4-A8C9-2B1055A2695F}"/>
    <cellStyle name="Normal 2 4 2 3 3 7 3" xfId="10970" xr:uid="{CAA81599-DFBC-41C1-9233-4E583741D51C}"/>
    <cellStyle name="Normal 2 4 2 3 3 8" xfId="4680" xr:uid="{00000000-0005-0000-0000-00000F0F0000}"/>
    <cellStyle name="Normal 2 4 2 3 3 8 2" xfId="13122" xr:uid="{F28BBFA5-617C-4246-95FF-F7A98EF0C60C}"/>
    <cellStyle name="Normal 2 4 2 3 3 9" xfId="8904" xr:uid="{F9F32AAB-7B1C-4014-BEC2-5FA7599A7A6C}"/>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B7FAE4E2-1136-4967-A26F-E9AE010ECE73}"/>
    <cellStyle name="Normal 2 4 2 3 4 2 2 3" xfId="11465" xr:uid="{B3AB846E-A364-4AE4-A939-EA8CC7C7618C}"/>
    <cellStyle name="Normal 2 4 2 3 4 2 3" xfId="5096" xr:uid="{00000000-0005-0000-0000-0000140F0000}"/>
    <cellStyle name="Normal 2 4 2 3 4 2 3 2" xfId="13538" xr:uid="{1D85CFE7-8D6F-4D35-B96E-3535930F1976}"/>
    <cellStyle name="Normal 2 4 2 3 4 2 4" xfId="9320" xr:uid="{129463BE-B9EA-4E16-88D0-4352B0DDF886}"/>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F06254BE-62CC-4A87-BA06-FB821F8EB320}"/>
    <cellStyle name="Normal 2 4 2 3 4 3 2 3" xfId="11878" xr:uid="{7426FC34-9265-4224-87AD-1951237B3A38}"/>
    <cellStyle name="Normal 2 4 2 3 4 3 3" xfId="5509" xr:uid="{00000000-0005-0000-0000-0000180F0000}"/>
    <cellStyle name="Normal 2 4 2 3 4 3 3 2" xfId="13951" xr:uid="{E62929EB-0974-4502-AC33-1FA05F17E4A2}"/>
    <cellStyle name="Normal 2 4 2 3 4 3 4" xfId="9733" xr:uid="{AF4444CB-A0ED-4E08-9D3F-760028991EA9}"/>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559C34C0-F488-4304-B1EF-3C24752940C7}"/>
    <cellStyle name="Normal 2 4 2 3 4 4 2 3" xfId="12291" xr:uid="{938ABC55-AF24-40E0-B5FB-B36B2F0395A8}"/>
    <cellStyle name="Normal 2 4 2 3 4 4 3" xfId="5922" xr:uid="{00000000-0005-0000-0000-00001C0F0000}"/>
    <cellStyle name="Normal 2 4 2 3 4 4 3 2" xfId="14364" xr:uid="{2F192C0E-37DD-4A30-9FB0-50D17B289CE2}"/>
    <cellStyle name="Normal 2 4 2 3 4 4 4" xfId="10146" xr:uid="{7B40616B-132E-49DE-9775-024ECFA40751}"/>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3B16F940-2F4A-4C74-ABC7-5C31EC5F2F5F}"/>
    <cellStyle name="Normal 2 4 2 3 4 5 2 3" xfId="12704" xr:uid="{B4FACEB0-5627-485F-9DDC-B0B1EC729E6C}"/>
    <cellStyle name="Normal 2 4 2 3 4 5 3" xfId="6335" xr:uid="{00000000-0005-0000-0000-0000200F0000}"/>
    <cellStyle name="Normal 2 4 2 3 4 5 3 2" xfId="14777" xr:uid="{5B9F47EF-FADC-4339-AF94-63AC93BCB625}"/>
    <cellStyle name="Normal 2 4 2 3 4 5 4" xfId="10559" xr:uid="{4C9E7DB8-6D49-40E5-8040-1F38D5419F52}"/>
    <cellStyle name="Normal 2 4 2 3 4 6" xfId="2464" xr:uid="{00000000-0005-0000-0000-0000210F0000}"/>
    <cellStyle name="Normal 2 4 2 3 4 6 2" xfId="6748" xr:uid="{00000000-0005-0000-0000-0000220F0000}"/>
    <cellStyle name="Normal 2 4 2 3 4 6 2 2" xfId="15190" xr:uid="{BA511DFF-EACA-4856-AE73-EB67E32ADD45}"/>
    <cellStyle name="Normal 2 4 2 3 4 6 3" xfId="10972" xr:uid="{6DB6D92C-2CC8-4A8C-AE38-F3D63590B2D0}"/>
    <cellStyle name="Normal 2 4 2 3 4 7" xfId="4682" xr:uid="{00000000-0005-0000-0000-0000230F0000}"/>
    <cellStyle name="Normal 2 4 2 3 4 7 2" xfId="13124" xr:uid="{27D351BE-C56C-4E47-8A3D-F7EA0260DD1C}"/>
    <cellStyle name="Normal 2 4 2 3 4 8" xfId="8906" xr:uid="{205EE12C-83E2-415C-9475-BB900A2F9E25}"/>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9AA7E51B-084A-41F7-89BB-D46C70794E09}"/>
    <cellStyle name="Normal 2 4 2 3 5 2 3" xfId="11458" xr:uid="{2225D9CF-1688-4C6A-9DA1-E0B5511DF329}"/>
    <cellStyle name="Normal 2 4 2 3 5 3" xfId="5089" xr:uid="{00000000-0005-0000-0000-0000270F0000}"/>
    <cellStyle name="Normal 2 4 2 3 5 3 2" xfId="13531" xr:uid="{CD86E9EF-30F4-428C-886A-79C070A613AA}"/>
    <cellStyle name="Normal 2 4 2 3 5 4" xfId="9313" xr:uid="{46AF112B-0F19-4AD8-BE31-7A160E6C99D7}"/>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FFE823E4-F897-4F0B-840E-158487327D36}"/>
    <cellStyle name="Normal 2 4 2 3 6 2 3" xfId="11871" xr:uid="{A90A414D-6573-49E4-8A30-824C0A017562}"/>
    <cellStyle name="Normal 2 4 2 3 6 3" xfId="5502" xr:uid="{00000000-0005-0000-0000-00002B0F0000}"/>
    <cellStyle name="Normal 2 4 2 3 6 3 2" xfId="13944" xr:uid="{FB074DDF-E61A-4F8B-B2BE-229A4177D7FB}"/>
    <cellStyle name="Normal 2 4 2 3 6 4" xfId="9726" xr:uid="{9E2487EA-6036-48CD-8A57-A7EB0715C850}"/>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177554B8-BFF9-492E-AEDB-A5886669D562}"/>
    <cellStyle name="Normal 2 4 2 3 7 2 3" xfId="12284" xr:uid="{F1A69106-DEC1-4903-ABBC-6BEE2D747363}"/>
    <cellStyle name="Normal 2 4 2 3 7 3" xfId="5915" xr:uid="{00000000-0005-0000-0000-00002F0F0000}"/>
    <cellStyle name="Normal 2 4 2 3 7 3 2" xfId="14357" xr:uid="{3131C530-A666-4814-8BFD-6ED888A8659C}"/>
    <cellStyle name="Normal 2 4 2 3 7 4" xfId="10139" xr:uid="{55812320-B3F5-460E-9841-FC2AFA37513B}"/>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4DC4E65C-421C-43C6-BB24-37D0443C99CC}"/>
    <cellStyle name="Normal 2 4 2 3 8 2 3" xfId="12697" xr:uid="{5B5DA4FB-6340-4F19-B747-A409AD82263C}"/>
    <cellStyle name="Normal 2 4 2 3 8 3" xfId="6328" xr:uid="{00000000-0005-0000-0000-0000330F0000}"/>
    <cellStyle name="Normal 2 4 2 3 8 3 2" xfId="14770" xr:uid="{AA09318C-C8B7-4425-B594-A01DB02CF710}"/>
    <cellStyle name="Normal 2 4 2 3 8 4" xfId="10552" xr:uid="{F46BD2EB-B8AD-4C9A-AC37-C5B12FE70D99}"/>
    <cellStyle name="Normal 2 4 2 3 9" xfId="2457" xr:uid="{00000000-0005-0000-0000-0000340F0000}"/>
    <cellStyle name="Normal 2 4 2 3 9 2" xfId="6741" xr:uid="{00000000-0005-0000-0000-0000350F0000}"/>
    <cellStyle name="Normal 2 4 2 3 9 2 2" xfId="15183" xr:uid="{BE415753-6301-4E2A-A512-21A59B9C3E6B}"/>
    <cellStyle name="Normal 2 4 2 3 9 3" xfId="10965" xr:uid="{A2594FC4-4943-4C2C-99B5-7FC0FA89C08A}"/>
    <cellStyle name="Normal 2 4 2 4" xfId="289" xr:uid="{00000000-0005-0000-0000-0000360F0000}"/>
    <cellStyle name="Normal 2 4 2 4 10" xfId="8907" xr:uid="{47E8B201-A7A2-4D59-ADDD-9066B30BC2B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DAE06742-F187-4C26-A576-C6287849D39C}"/>
    <cellStyle name="Normal 2 4 2 4 2 2 2 2 3" xfId="11468" xr:uid="{DC809530-CA66-42DC-8203-B445EF2192F4}"/>
    <cellStyle name="Normal 2 4 2 4 2 2 2 3" xfId="5099" xr:uid="{00000000-0005-0000-0000-00003C0F0000}"/>
    <cellStyle name="Normal 2 4 2 4 2 2 2 3 2" xfId="13541" xr:uid="{525E8407-D1BC-40E3-A144-7F34E2982505}"/>
    <cellStyle name="Normal 2 4 2 4 2 2 2 4" xfId="9323" xr:uid="{13B91C4E-9C84-4A13-A4A2-64184545DADE}"/>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E0F91B17-9CC0-47F3-87CD-EC13BD024206}"/>
    <cellStyle name="Normal 2 4 2 4 2 2 3 2 3" xfId="11881" xr:uid="{E625F65D-DC15-4576-8109-384198366F30}"/>
    <cellStyle name="Normal 2 4 2 4 2 2 3 3" xfId="5512" xr:uid="{00000000-0005-0000-0000-0000400F0000}"/>
    <cellStyle name="Normal 2 4 2 4 2 2 3 3 2" xfId="13954" xr:uid="{ED1CB34D-723C-4DA8-AFA6-BC301A3DFAB4}"/>
    <cellStyle name="Normal 2 4 2 4 2 2 3 4" xfId="9736" xr:uid="{0A0D0F83-DA8C-431F-9212-CB6440D09DDA}"/>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8B36C341-02BB-43D2-8021-5CF633EBC081}"/>
    <cellStyle name="Normal 2 4 2 4 2 2 4 2 3" xfId="12294" xr:uid="{467199AE-11AA-46BC-BCBE-84AC4427838C}"/>
    <cellStyle name="Normal 2 4 2 4 2 2 4 3" xfId="5925" xr:uid="{00000000-0005-0000-0000-0000440F0000}"/>
    <cellStyle name="Normal 2 4 2 4 2 2 4 3 2" xfId="14367" xr:uid="{2A7DC548-EB67-48A7-B46F-9686F3067187}"/>
    <cellStyle name="Normal 2 4 2 4 2 2 4 4" xfId="10149" xr:uid="{3015E0F0-B405-4FF3-A931-24C0226C3B37}"/>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2B19B63A-E390-4120-A047-8A4637C92FA2}"/>
    <cellStyle name="Normal 2 4 2 4 2 2 5 2 3" xfId="12707" xr:uid="{4FCD9984-DBC5-4EF4-A3A2-65FC05B77671}"/>
    <cellStyle name="Normal 2 4 2 4 2 2 5 3" xfId="6338" xr:uid="{00000000-0005-0000-0000-0000480F0000}"/>
    <cellStyle name="Normal 2 4 2 4 2 2 5 3 2" xfId="14780" xr:uid="{9EC17F14-060E-4738-A4D5-9DBA6D6109DD}"/>
    <cellStyle name="Normal 2 4 2 4 2 2 5 4" xfId="10562" xr:uid="{6E272BD5-E8F2-4D49-BCB2-2BED1C154C1C}"/>
    <cellStyle name="Normal 2 4 2 4 2 2 6" xfId="2467" xr:uid="{00000000-0005-0000-0000-0000490F0000}"/>
    <cellStyle name="Normal 2 4 2 4 2 2 6 2" xfId="6751" xr:uid="{00000000-0005-0000-0000-00004A0F0000}"/>
    <cellStyle name="Normal 2 4 2 4 2 2 6 2 2" xfId="15193" xr:uid="{3372AA28-EFAE-48DA-AD90-27628E4F3EAC}"/>
    <cellStyle name="Normal 2 4 2 4 2 2 6 3" xfId="10975" xr:uid="{1CEFB01C-DCAD-42EE-BA24-7B85232E32F2}"/>
    <cellStyle name="Normal 2 4 2 4 2 2 7" xfId="4685" xr:uid="{00000000-0005-0000-0000-00004B0F0000}"/>
    <cellStyle name="Normal 2 4 2 4 2 2 7 2" xfId="13127" xr:uid="{38CCEBBA-6007-4D0B-A003-A0D5EBA4DAF2}"/>
    <cellStyle name="Normal 2 4 2 4 2 2 8" xfId="8909" xr:uid="{4D418353-666E-42E7-854C-62F8AF2239F5}"/>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B3DBCDE2-0BCD-4D80-83EF-FFBBE13A87C1}"/>
    <cellStyle name="Normal 2 4 2 4 2 3 2 3" xfId="11467" xr:uid="{1C0C0679-1514-42F2-B027-1AE68A5ACD26}"/>
    <cellStyle name="Normal 2 4 2 4 2 3 3" xfId="5098" xr:uid="{00000000-0005-0000-0000-00004F0F0000}"/>
    <cellStyle name="Normal 2 4 2 4 2 3 3 2" xfId="13540" xr:uid="{8D9553C4-D2EB-46A0-AB1E-F6557121B675}"/>
    <cellStyle name="Normal 2 4 2 4 2 3 4" xfId="9322" xr:uid="{485666A3-18E2-469E-9690-0B398C816B3D}"/>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46BC81E5-EBA7-44A0-92D6-8C1F7297DABD}"/>
    <cellStyle name="Normal 2 4 2 4 2 4 2 3" xfId="11880" xr:uid="{F780CE06-9EA9-49FC-B0DC-DE577C7FBEB8}"/>
    <cellStyle name="Normal 2 4 2 4 2 4 3" xfId="5511" xr:uid="{00000000-0005-0000-0000-0000530F0000}"/>
    <cellStyle name="Normal 2 4 2 4 2 4 3 2" xfId="13953" xr:uid="{996DB6D1-E52B-4E9D-8097-BB5DFB920218}"/>
    <cellStyle name="Normal 2 4 2 4 2 4 4" xfId="9735" xr:uid="{E0DCFC78-6A41-4047-92E9-E67546153A53}"/>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ED4FDE04-EA6C-4AB8-A9DF-30F7C1B7F7BA}"/>
    <cellStyle name="Normal 2 4 2 4 2 5 2 3" xfId="12293" xr:uid="{17F16483-AF43-428B-BD60-FA80ED8352D6}"/>
    <cellStyle name="Normal 2 4 2 4 2 5 3" xfId="5924" xr:uid="{00000000-0005-0000-0000-0000570F0000}"/>
    <cellStyle name="Normal 2 4 2 4 2 5 3 2" xfId="14366" xr:uid="{73366948-FCA2-48DB-9468-537861D7DA09}"/>
    <cellStyle name="Normal 2 4 2 4 2 5 4" xfId="10148" xr:uid="{FBA44EE3-26AC-4343-BA4B-31D19ADCDA97}"/>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C647866B-048B-4443-8C2F-8E0CAB16C8FF}"/>
    <cellStyle name="Normal 2 4 2 4 2 6 2 3" xfId="12706" xr:uid="{D056EF2C-2F3B-4774-88C4-2EBC27E34A32}"/>
    <cellStyle name="Normal 2 4 2 4 2 6 3" xfId="6337" xr:uid="{00000000-0005-0000-0000-00005B0F0000}"/>
    <cellStyle name="Normal 2 4 2 4 2 6 3 2" xfId="14779" xr:uid="{70B7FF7D-153A-4E89-B839-3EB3D6BA50B1}"/>
    <cellStyle name="Normal 2 4 2 4 2 6 4" xfId="10561" xr:uid="{8B02A583-4453-492F-BCF9-CA9A5D5CC187}"/>
    <cellStyle name="Normal 2 4 2 4 2 7" xfId="2466" xr:uid="{00000000-0005-0000-0000-00005C0F0000}"/>
    <cellStyle name="Normal 2 4 2 4 2 7 2" xfId="6750" xr:uid="{00000000-0005-0000-0000-00005D0F0000}"/>
    <cellStyle name="Normal 2 4 2 4 2 7 2 2" xfId="15192" xr:uid="{3B587AB0-DBA2-46BE-9690-B01763378A86}"/>
    <cellStyle name="Normal 2 4 2 4 2 7 3" xfId="10974" xr:uid="{6E5C9D2A-813C-422F-BFB3-1C3DD91D8944}"/>
    <cellStyle name="Normal 2 4 2 4 2 8" xfId="4684" xr:uid="{00000000-0005-0000-0000-00005E0F0000}"/>
    <cellStyle name="Normal 2 4 2 4 2 8 2" xfId="13126" xr:uid="{86BC2EF2-9E18-4861-BFFA-E56143497E8E}"/>
    <cellStyle name="Normal 2 4 2 4 2 9" xfId="8908" xr:uid="{8146C191-FB29-488E-B79F-9D565F5AA336}"/>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9AB9A60D-9CEF-4108-AE2B-02325CA7E40C}"/>
    <cellStyle name="Normal 2 4 2 4 3 2 2 3" xfId="11469" xr:uid="{9B3D1DC6-AC05-4D49-AB1B-97AF78DED3CD}"/>
    <cellStyle name="Normal 2 4 2 4 3 2 3" xfId="5100" xr:uid="{00000000-0005-0000-0000-0000630F0000}"/>
    <cellStyle name="Normal 2 4 2 4 3 2 3 2" xfId="13542" xr:uid="{F1C99360-C4FD-43D3-88C0-669EE5DBDF6D}"/>
    <cellStyle name="Normal 2 4 2 4 3 2 4" xfId="9324" xr:uid="{AA10425B-2A3C-4D1A-B50E-E37163BEDC5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548963A3-0693-4A65-8072-199D9480AEA1}"/>
    <cellStyle name="Normal 2 4 2 4 3 3 2 3" xfId="11882" xr:uid="{A17CD920-D5B9-4B5E-949D-06E9AD327779}"/>
    <cellStyle name="Normal 2 4 2 4 3 3 3" xfId="5513" xr:uid="{00000000-0005-0000-0000-0000670F0000}"/>
    <cellStyle name="Normal 2 4 2 4 3 3 3 2" xfId="13955" xr:uid="{B051B154-05D7-471F-B40D-8B3F2E741C3A}"/>
    <cellStyle name="Normal 2 4 2 4 3 3 4" xfId="9737" xr:uid="{6484786A-5D0B-4091-AA88-EB1DEDF83576}"/>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3D0F8BA0-2943-4436-8014-8B2E81ABCC9B}"/>
    <cellStyle name="Normal 2 4 2 4 3 4 2 3" xfId="12295" xr:uid="{DB0ADD98-B473-4530-B852-2693D0BF8993}"/>
    <cellStyle name="Normal 2 4 2 4 3 4 3" xfId="5926" xr:uid="{00000000-0005-0000-0000-00006B0F0000}"/>
    <cellStyle name="Normal 2 4 2 4 3 4 3 2" xfId="14368" xr:uid="{2C911A5C-0FB8-486E-9AE2-623132988BC5}"/>
    <cellStyle name="Normal 2 4 2 4 3 4 4" xfId="10150" xr:uid="{E66BFFC0-6FBB-44A4-977A-2EB1A3E831BB}"/>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41A8E21D-888E-4266-8D64-9E8C146CFD13}"/>
    <cellStyle name="Normal 2 4 2 4 3 5 2 3" xfId="12708" xr:uid="{81F52399-0E5B-4076-8AED-3D74AB5E187C}"/>
    <cellStyle name="Normal 2 4 2 4 3 5 3" xfId="6339" xr:uid="{00000000-0005-0000-0000-00006F0F0000}"/>
    <cellStyle name="Normal 2 4 2 4 3 5 3 2" xfId="14781" xr:uid="{6E178B9E-E0A0-4B5B-BE6B-9EDAF00A33F1}"/>
    <cellStyle name="Normal 2 4 2 4 3 5 4" xfId="10563" xr:uid="{4C455A7C-30FE-4BE2-9F0D-5E63F9DF6B09}"/>
    <cellStyle name="Normal 2 4 2 4 3 6" xfId="2468" xr:uid="{00000000-0005-0000-0000-0000700F0000}"/>
    <cellStyle name="Normal 2 4 2 4 3 6 2" xfId="6752" xr:uid="{00000000-0005-0000-0000-0000710F0000}"/>
    <cellStyle name="Normal 2 4 2 4 3 6 2 2" xfId="15194" xr:uid="{B5E72969-D95F-41C1-A259-28F445F0CE3C}"/>
    <cellStyle name="Normal 2 4 2 4 3 6 3" xfId="10976" xr:uid="{B9157717-A28B-4DC2-AD0C-CACC87A60236}"/>
    <cellStyle name="Normal 2 4 2 4 3 7" xfId="4686" xr:uid="{00000000-0005-0000-0000-0000720F0000}"/>
    <cellStyle name="Normal 2 4 2 4 3 7 2" xfId="13128" xr:uid="{62B7D6EE-40DE-41CA-987A-E920A9A29ED7}"/>
    <cellStyle name="Normal 2 4 2 4 3 8" xfId="8910" xr:uid="{6659B282-B96F-4A16-BA2B-28DB7F37DD54}"/>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5D18C567-935C-479B-B7DB-C823B125948C}"/>
    <cellStyle name="Normal 2 4 2 4 4 2 3" xfId="11466" xr:uid="{4776E94F-96CC-4977-977F-024BE7BD7BF2}"/>
    <cellStyle name="Normal 2 4 2 4 4 3" xfId="5097" xr:uid="{00000000-0005-0000-0000-0000760F0000}"/>
    <cellStyle name="Normal 2 4 2 4 4 3 2" xfId="13539" xr:uid="{686C97B9-61D0-4167-AC3D-E00A0E64F192}"/>
    <cellStyle name="Normal 2 4 2 4 4 4" xfId="9321" xr:uid="{DC5C742E-6E8A-4B61-B56E-E1A66DA25D33}"/>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42044891-1A3D-4AFC-A530-C4E44E1DEE2B}"/>
    <cellStyle name="Normal 2 4 2 4 5 2 3" xfId="11879" xr:uid="{2119BA9D-ACC3-4C5B-8DD7-CF5CCEC969E6}"/>
    <cellStyle name="Normal 2 4 2 4 5 3" xfId="5510" xr:uid="{00000000-0005-0000-0000-00007A0F0000}"/>
    <cellStyle name="Normal 2 4 2 4 5 3 2" xfId="13952" xr:uid="{022D4722-9BF4-41D4-B9A6-2990E9D77AC9}"/>
    <cellStyle name="Normal 2 4 2 4 5 4" xfId="9734" xr:uid="{A1DA5B46-77D6-4759-82D3-23057D27A2F8}"/>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A8CC59F0-3436-4B57-89A5-C6D8577B06DD}"/>
    <cellStyle name="Normal 2 4 2 4 6 2 3" xfId="12292" xr:uid="{E8B725A8-32A5-4DEF-8863-9F2B45943A35}"/>
    <cellStyle name="Normal 2 4 2 4 6 3" xfId="5923" xr:uid="{00000000-0005-0000-0000-00007E0F0000}"/>
    <cellStyle name="Normal 2 4 2 4 6 3 2" xfId="14365" xr:uid="{EA547F52-FCC8-4B14-BDD0-07A532D97E52}"/>
    <cellStyle name="Normal 2 4 2 4 6 4" xfId="10147" xr:uid="{123DD87D-BF4C-4DF0-8566-8C1EF76DCA09}"/>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360646C5-9A5E-42D1-9F9B-E08403D44682}"/>
    <cellStyle name="Normal 2 4 2 4 7 2 3" xfId="12705" xr:uid="{1D580727-FA48-4057-92FC-BD94CC1A7F80}"/>
    <cellStyle name="Normal 2 4 2 4 7 3" xfId="6336" xr:uid="{00000000-0005-0000-0000-0000820F0000}"/>
    <cellStyle name="Normal 2 4 2 4 7 3 2" xfId="14778" xr:uid="{25E94DF5-1D02-493A-AF7C-5A487D5DDE7C}"/>
    <cellStyle name="Normal 2 4 2 4 7 4" xfId="10560" xr:uid="{AD3AA2BA-5E9F-48E4-BE48-D0F64DD300AA}"/>
    <cellStyle name="Normal 2 4 2 4 8" xfId="2465" xr:uid="{00000000-0005-0000-0000-0000830F0000}"/>
    <cellStyle name="Normal 2 4 2 4 8 2" xfId="6749" xr:uid="{00000000-0005-0000-0000-0000840F0000}"/>
    <cellStyle name="Normal 2 4 2 4 8 2 2" xfId="15191" xr:uid="{FAC48CEB-4EEC-40C8-B29B-41DA6B17A8F2}"/>
    <cellStyle name="Normal 2 4 2 4 8 3" xfId="10973" xr:uid="{D41DAA6C-9A02-48B4-B7A0-E887E33FB100}"/>
    <cellStyle name="Normal 2 4 2 4 9" xfId="4683" xr:uid="{00000000-0005-0000-0000-0000850F0000}"/>
    <cellStyle name="Normal 2 4 2 4 9 2" xfId="13125" xr:uid="{9CF5104A-A5F2-4EBD-A98F-71B69248EC62}"/>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C2334B99-C5F3-4E32-BA29-1312985C3D4E}"/>
    <cellStyle name="Normal 2 4 2 5 2 2 2 3" xfId="11471" xr:uid="{8D7C6685-81B5-410C-8B08-E64BEE8E48B4}"/>
    <cellStyle name="Normal 2 4 2 5 2 2 3" xfId="5102" xr:uid="{00000000-0005-0000-0000-00008B0F0000}"/>
    <cellStyle name="Normal 2 4 2 5 2 2 3 2" xfId="13544" xr:uid="{252A7F69-94BE-45F8-9CF7-28BBC56693A4}"/>
    <cellStyle name="Normal 2 4 2 5 2 2 4" xfId="9326" xr:uid="{D2D41166-7485-41A7-B19A-9A7EAF5A2109}"/>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BDA85848-2B74-45FB-BDEB-45BFF568BF85}"/>
    <cellStyle name="Normal 2 4 2 5 2 3 2 3" xfId="11884" xr:uid="{EC99CDE4-9EE2-4462-A93A-BB1721AE68E9}"/>
    <cellStyle name="Normal 2 4 2 5 2 3 3" xfId="5515" xr:uid="{00000000-0005-0000-0000-00008F0F0000}"/>
    <cellStyle name="Normal 2 4 2 5 2 3 3 2" xfId="13957" xr:uid="{8FEC9072-BBE7-41C3-ADF8-38D4DA4E03ED}"/>
    <cellStyle name="Normal 2 4 2 5 2 3 4" xfId="9739" xr:uid="{E7A0A3CE-88CB-443B-BBD0-7A6720FD01F2}"/>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AFD8E38A-D12C-4C18-9EBC-BCA9F822D7BE}"/>
    <cellStyle name="Normal 2 4 2 5 2 4 2 3" xfId="12297" xr:uid="{80970AFB-767D-42C0-AB72-C24A13208AB8}"/>
    <cellStyle name="Normal 2 4 2 5 2 4 3" xfId="5928" xr:uid="{00000000-0005-0000-0000-0000930F0000}"/>
    <cellStyle name="Normal 2 4 2 5 2 4 3 2" xfId="14370" xr:uid="{AE1101CF-4EE3-406E-AD40-8A8B82836ED4}"/>
    <cellStyle name="Normal 2 4 2 5 2 4 4" xfId="10152" xr:uid="{73D6AEBA-8DEE-42D2-A5B0-8D1A0B2F19CB}"/>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13DCDE68-FDE1-4F18-B4F2-6FFC8EE99B4B}"/>
    <cellStyle name="Normal 2 4 2 5 2 5 2 3" xfId="12710" xr:uid="{E8FAC3A4-D4F2-47E4-9745-28C2516FCED0}"/>
    <cellStyle name="Normal 2 4 2 5 2 5 3" xfId="6341" xr:uid="{00000000-0005-0000-0000-0000970F0000}"/>
    <cellStyle name="Normal 2 4 2 5 2 5 3 2" xfId="14783" xr:uid="{516C238E-CC6B-4CAC-90C7-A5932CD3504D}"/>
    <cellStyle name="Normal 2 4 2 5 2 5 4" xfId="10565" xr:uid="{6B5E129F-594B-467A-8B25-2C6E74F397FF}"/>
    <cellStyle name="Normal 2 4 2 5 2 6" xfId="2470" xr:uid="{00000000-0005-0000-0000-0000980F0000}"/>
    <cellStyle name="Normal 2 4 2 5 2 6 2" xfId="6754" xr:uid="{00000000-0005-0000-0000-0000990F0000}"/>
    <cellStyle name="Normal 2 4 2 5 2 6 2 2" xfId="15196" xr:uid="{0C901C9F-AC95-464D-90FB-76813E22AEBA}"/>
    <cellStyle name="Normal 2 4 2 5 2 6 3" xfId="10978" xr:uid="{14370F86-A34B-4AE4-B8A8-2A80AB0EC4A2}"/>
    <cellStyle name="Normal 2 4 2 5 2 7" xfId="4688" xr:uid="{00000000-0005-0000-0000-00009A0F0000}"/>
    <cellStyle name="Normal 2 4 2 5 2 7 2" xfId="13130" xr:uid="{1270DB9D-8035-44CB-A97F-E8B562D23E39}"/>
    <cellStyle name="Normal 2 4 2 5 2 8" xfId="8912" xr:uid="{67B0CC5D-9653-43FB-9E0E-FFC0F0B72122}"/>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D84DF26E-7DB8-4161-9CB1-B0C1D94D51AD}"/>
    <cellStyle name="Normal 2 4 2 5 3 2 3" xfId="11470" xr:uid="{8E9BFB9A-0528-40B2-95B5-9DF00B5B41EA}"/>
    <cellStyle name="Normal 2 4 2 5 3 3" xfId="5101" xr:uid="{00000000-0005-0000-0000-00009E0F0000}"/>
    <cellStyle name="Normal 2 4 2 5 3 3 2" xfId="13543" xr:uid="{B1FDC8A3-CF3D-4FC1-9F7F-843BCE4E982B}"/>
    <cellStyle name="Normal 2 4 2 5 3 4" xfId="9325" xr:uid="{E1FBCE4C-0946-465E-82B9-A9BF7A1D6317}"/>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2A3E56F6-CB36-4B71-AC62-8612C3DE079C}"/>
    <cellStyle name="Normal 2 4 2 5 4 2 3" xfId="11883" xr:uid="{A514EF3A-06F3-469E-9584-AE8D3A5C1DB9}"/>
    <cellStyle name="Normal 2 4 2 5 4 3" xfId="5514" xr:uid="{00000000-0005-0000-0000-0000A20F0000}"/>
    <cellStyle name="Normal 2 4 2 5 4 3 2" xfId="13956" xr:uid="{F7275D8C-25D3-4AE6-96FE-71CE41117147}"/>
    <cellStyle name="Normal 2 4 2 5 4 4" xfId="9738" xr:uid="{467FE625-65E7-4275-81FF-1C6FD7B64A8A}"/>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9C2D3B33-DFD3-41BF-BE04-83F06FEE29E7}"/>
    <cellStyle name="Normal 2 4 2 5 5 2 3" xfId="12296" xr:uid="{E4E2BF99-927D-4C89-8656-DB498AA68F9B}"/>
    <cellStyle name="Normal 2 4 2 5 5 3" xfId="5927" xr:uid="{00000000-0005-0000-0000-0000A60F0000}"/>
    <cellStyle name="Normal 2 4 2 5 5 3 2" xfId="14369" xr:uid="{C8352BDE-B811-496B-987F-B815E4D95B44}"/>
    <cellStyle name="Normal 2 4 2 5 5 4" xfId="10151" xr:uid="{0FF3D089-D080-4274-8CAA-46A29E77B68F}"/>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CEBAD56F-3B9D-4718-91A8-E7C764FAF186}"/>
    <cellStyle name="Normal 2 4 2 5 6 2 3" xfId="12709" xr:uid="{C005EEE9-82AF-4E05-9DAA-525F97820EB5}"/>
    <cellStyle name="Normal 2 4 2 5 6 3" xfId="6340" xr:uid="{00000000-0005-0000-0000-0000AA0F0000}"/>
    <cellStyle name="Normal 2 4 2 5 6 3 2" xfId="14782" xr:uid="{FAD1455E-2CD4-4986-8F3B-1E01D0FB5EA9}"/>
    <cellStyle name="Normal 2 4 2 5 6 4" xfId="10564" xr:uid="{4A76F219-19C9-4337-AB91-91DB8E837F1E}"/>
    <cellStyle name="Normal 2 4 2 5 7" xfId="2469" xr:uid="{00000000-0005-0000-0000-0000AB0F0000}"/>
    <cellStyle name="Normal 2 4 2 5 7 2" xfId="6753" xr:uid="{00000000-0005-0000-0000-0000AC0F0000}"/>
    <cellStyle name="Normal 2 4 2 5 7 2 2" xfId="15195" xr:uid="{E450A7D0-CEDE-4C44-88DC-5E2F7EA7ECA8}"/>
    <cellStyle name="Normal 2 4 2 5 7 3" xfId="10977" xr:uid="{C58AB6FC-20CC-47E1-939E-BACDF7CBB8DE}"/>
    <cellStyle name="Normal 2 4 2 5 8" xfId="4687" xr:uid="{00000000-0005-0000-0000-0000AD0F0000}"/>
    <cellStyle name="Normal 2 4 2 5 8 2" xfId="13129" xr:uid="{03B01236-1645-4FCB-AC3C-2672EF5B32AA}"/>
    <cellStyle name="Normal 2 4 2 5 9" xfId="8911" xr:uid="{B9A1B836-592D-4BFB-834C-A3A84FC5D9F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6DE5EFEB-8EDB-4C1F-8B29-0D66C902AFF5}"/>
    <cellStyle name="Normal 2 4 2 6 2 2 3" xfId="11472" xr:uid="{CDB846EC-1841-4D4A-86F0-33553C4650C4}"/>
    <cellStyle name="Normal 2 4 2 6 2 3" xfId="5103" xr:uid="{00000000-0005-0000-0000-0000B20F0000}"/>
    <cellStyle name="Normal 2 4 2 6 2 3 2" xfId="13545" xr:uid="{D7BE90F0-29AC-4221-AABC-C6CAF5289B06}"/>
    <cellStyle name="Normal 2 4 2 6 2 4" xfId="9327" xr:uid="{AB60501E-B94F-460C-99EA-1D7C539E4605}"/>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9ADE2722-DE55-460E-9232-2F3E69A3B3A0}"/>
    <cellStyle name="Normal 2 4 2 6 3 2 3" xfId="11885" xr:uid="{D7E55ADA-D8EB-4320-96ED-F583170E8FCF}"/>
    <cellStyle name="Normal 2 4 2 6 3 3" xfId="5516" xr:uid="{00000000-0005-0000-0000-0000B60F0000}"/>
    <cellStyle name="Normal 2 4 2 6 3 3 2" xfId="13958" xr:uid="{FD27DEEE-DBB4-4A72-9F8B-CE31079905AA}"/>
    <cellStyle name="Normal 2 4 2 6 3 4" xfId="9740" xr:uid="{FB59F90E-368D-4949-BCF4-59B1268D62C5}"/>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2C82390F-4DB9-426A-8BFA-18DDA1DA8F86}"/>
    <cellStyle name="Normal 2 4 2 6 4 2 3" xfId="12298" xr:uid="{5DA9F5D1-2FD0-403E-BB26-6E6EAE92201B}"/>
    <cellStyle name="Normal 2 4 2 6 4 3" xfId="5929" xr:uid="{00000000-0005-0000-0000-0000BA0F0000}"/>
    <cellStyle name="Normal 2 4 2 6 4 3 2" xfId="14371" xr:uid="{766FE73D-9ACB-4A5F-A121-F70BC09F5363}"/>
    <cellStyle name="Normal 2 4 2 6 4 4" xfId="10153" xr:uid="{C3B1E10B-B29F-4660-9A8F-A40D0CB71BEA}"/>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AB4C33C4-5E78-4033-B8E3-310C7A4CC5E0}"/>
    <cellStyle name="Normal 2 4 2 6 5 2 3" xfId="12711" xr:uid="{48ED23C7-59DE-49BB-9F84-5BC2A27D0EF4}"/>
    <cellStyle name="Normal 2 4 2 6 5 3" xfId="6342" xr:uid="{00000000-0005-0000-0000-0000BE0F0000}"/>
    <cellStyle name="Normal 2 4 2 6 5 3 2" xfId="14784" xr:uid="{069D61D0-69AB-4014-943A-EC1A3D45A41C}"/>
    <cellStyle name="Normal 2 4 2 6 5 4" xfId="10566" xr:uid="{889B8883-B8DB-47CB-A85F-E7DB410EC7E3}"/>
    <cellStyle name="Normal 2 4 2 6 6" xfId="2471" xr:uid="{00000000-0005-0000-0000-0000BF0F0000}"/>
    <cellStyle name="Normal 2 4 2 6 6 2" xfId="6755" xr:uid="{00000000-0005-0000-0000-0000C00F0000}"/>
    <cellStyle name="Normal 2 4 2 6 6 2 2" xfId="15197" xr:uid="{22731294-1FFC-4F2D-AEFD-9122AEBBA103}"/>
    <cellStyle name="Normal 2 4 2 6 6 3" xfId="10979" xr:uid="{5330767A-D501-4E3C-8F48-C3778BD60AD4}"/>
    <cellStyle name="Normal 2 4 2 6 7" xfId="4689" xr:uid="{00000000-0005-0000-0000-0000C10F0000}"/>
    <cellStyle name="Normal 2 4 2 6 7 2" xfId="13131" xr:uid="{775100CD-C160-4733-B140-98B977AF9988}"/>
    <cellStyle name="Normal 2 4 2 6 8" xfId="8913" xr:uid="{3578166E-14E7-4AE9-B959-CB40F15E1F33}"/>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F40F647A-FBD6-4674-B847-6C4810ADB503}"/>
    <cellStyle name="Normal 2 4 2 7 2 3" xfId="11457" xr:uid="{EF807F63-BA8C-419C-8350-A60BC276720B}"/>
    <cellStyle name="Normal 2 4 2 7 3" xfId="5088" xr:uid="{00000000-0005-0000-0000-0000C50F0000}"/>
    <cellStyle name="Normal 2 4 2 7 3 2" xfId="13530" xr:uid="{834A8037-B590-4189-9B36-36C286E7C641}"/>
    <cellStyle name="Normal 2 4 2 7 4" xfId="9312" xr:uid="{761201FF-1D49-409F-BCED-75EB9651903C}"/>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CC847E38-D07E-4800-88AE-19C8910D342E}"/>
    <cellStyle name="Normal 2 4 2 8 2 3" xfId="11870" xr:uid="{2A5243EB-04CF-4B48-86BD-9133BE037480}"/>
    <cellStyle name="Normal 2 4 2 8 3" xfId="5501" xr:uid="{00000000-0005-0000-0000-0000C90F0000}"/>
    <cellStyle name="Normal 2 4 2 8 3 2" xfId="13943" xr:uid="{E695081E-E019-4276-A925-B208106025C4}"/>
    <cellStyle name="Normal 2 4 2 8 4" xfId="9725" xr:uid="{350D79F2-8810-4C9F-A90B-845748DEA9D2}"/>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D9C40428-CF0C-4D26-9DBE-D63C7AA5F9E9}"/>
    <cellStyle name="Normal 2 4 2 9 2 3" xfId="12283" xr:uid="{2F9D484E-01E5-49AB-BE6C-256011B1AAE3}"/>
    <cellStyle name="Normal 2 4 2 9 3" xfId="5914" xr:uid="{00000000-0005-0000-0000-0000CD0F0000}"/>
    <cellStyle name="Normal 2 4 2 9 3 2" xfId="14356" xr:uid="{3721520C-419A-4779-B3CC-99689C80D580}"/>
    <cellStyle name="Normal 2 4 2 9 4" xfId="10138" xr:uid="{1FFA9B1D-65B6-4E70-81A4-E29F0CC435BF}"/>
    <cellStyle name="Normal 2 4 3" xfId="296" xr:uid="{00000000-0005-0000-0000-0000CE0F0000}"/>
    <cellStyle name="Normal 2 4 3 10" xfId="8914" xr:uid="{61312786-9953-436A-8CF5-B22F16C4A929}"/>
    <cellStyle name="Normal 2 4 3 2" xfId="297" xr:uid="{00000000-0005-0000-0000-0000CF0F0000}"/>
    <cellStyle name="Normal 2 4 3 3" xfId="298" xr:uid="{00000000-0005-0000-0000-0000D00F0000}"/>
    <cellStyle name="Normal 2 4 3 3 10" xfId="8915" xr:uid="{7CA94B24-F712-4CF2-B706-AB5C52ECABED}"/>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6E4EEC01-9296-404A-A6EC-B6034F925701}"/>
    <cellStyle name="Normal 2 4 3 3 2 2 2 2 3" xfId="11476" xr:uid="{9410459C-572E-4A22-9DDA-C78B62FF567F}"/>
    <cellStyle name="Normal 2 4 3 3 2 2 2 3" xfId="5107" xr:uid="{00000000-0005-0000-0000-0000D60F0000}"/>
    <cellStyle name="Normal 2 4 3 3 2 2 2 3 2" xfId="13549" xr:uid="{27B14166-E7F0-496A-9E16-6DE61A8518F3}"/>
    <cellStyle name="Normal 2 4 3 3 2 2 2 4" xfId="9331" xr:uid="{4497C600-B9BA-4A55-9F0D-3F4E907D1671}"/>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0ABB0B4F-8F9E-4278-A8A0-65E33B4E0531}"/>
    <cellStyle name="Normal 2 4 3 3 2 2 3 2 3" xfId="11889" xr:uid="{27DDF03D-719A-4634-A591-EE3670017935}"/>
    <cellStyle name="Normal 2 4 3 3 2 2 3 3" xfId="5520" xr:uid="{00000000-0005-0000-0000-0000DA0F0000}"/>
    <cellStyle name="Normal 2 4 3 3 2 2 3 3 2" xfId="13962" xr:uid="{ABBED5B9-C2A9-4E59-A883-CD45835C2068}"/>
    <cellStyle name="Normal 2 4 3 3 2 2 3 4" xfId="9744" xr:uid="{F4670E8A-4946-4953-ACEC-3CBED4852E9E}"/>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D03F56AB-836D-4738-AC21-27BC77C2ECD3}"/>
    <cellStyle name="Normal 2 4 3 3 2 2 4 2 3" xfId="12302" xr:uid="{8C4C8AC2-3C5F-4E7A-89ED-D3F7D1596129}"/>
    <cellStyle name="Normal 2 4 3 3 2 2 4 3" xfId="5933" xr:uid="{00000000-0005-0000-0000-0000DE0F0000}"/>
    <cellStyle name="Normal 2 4 3 3 2 2 4 3 2" xfId="14375" xr:uid="{31A645A7-2D79-403F-B233-D7CE3E97036C}"/>
    <cellStyle name="Normal 2 4 3 3 2 2 4 4" xfId="10157" xr:uid="{61732A5A-71D0-4D46-BFC2-25BB461A6EEF}"/>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2F19A2E6-D5E5-44F0-A160-DF821CA98619}"/>
    <cellStyle name="Normal 2 4 3 3 2 2 5 2 3" xfId="12715" xr:uid="{0074AA40-50F5-4A02-8CDA-06B50D3646F4}"/>
    <cellStyle name="Normal 2 4 3 3 2 2 5 3" xfId="6346" xr:uid="{00000000-0005-0000-0000-0000E20F0000}"/>
    <cellStyle name="Normal 2 4 3 3 2 2 5 3 2" xfId="14788" xr:uid="{0DDD2B13-29A9-4C38-8347-CF2803A8E8CD}"/>
    <cellStyle name="Normal 2 4 3 3 2 2 5 4" xfId="10570" xr:uid="{99D91059-A146-49C0-9358-AB41EB0E29F1}"/>
    <cellStyle name="Normal 2 4 3 3 2 2 6" xfId="2475" xr:uid="{00000000-0005-0000-0000-0000E30F0000}"/>
    <cellStyle name="Normal 2 4 3 3 2 2 6 2" xfId="6759" xr:uid="{00000000-0005-0000-0000-0000E40F0000}"/>
    <cellStyle name="Normal 2 4 3 3 2 2 6 2 2" xfId="15201" xr:uid="{68C84CC6-872B-44EA-AA10-CDF8A099FB6A}"/>
    <cellStyle name="Normal 2 4 3 3 2 2 6 3" xfId="10983" xr:uid="{139A806A-7C07-428F-A835-D030C27DEC18}"/>
    <cellStyle name="Normal 2 4 3 3 2 2 7" xfId="4693" xr:uid="{00000000-0005-0000-0000-0000E50F0000}"/>
    <cellStyle name="Normal 2 4 3 3 2 2 7 2" xfId="13135" xr:uid="{C0A11508-19DA-4D0B-9902-097303B952B6}"/>
    <cellStyle name="Normal 2 4 3 3 2 2 8" xfId="8917" xr:uid="{C6BAF321-5E0E-4744-9C35-29D4685DB0EE}"/>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113EE9E3-CDD5-4069-BEF8-370A7C751F68}"/>
    <cellStyle name="Normal 2 4 3 3 2 3 2 3" xfId="11475" xr:uid="{8E7293BC-A395-4513-B802-6AEAA41377B2}"/>
    <cellStyle name="Normal 2 4 3 3 2 3 3" xfId="5106" xr:uid="{00000000-0005-0000-0000-0000E90F0000}"/>
    <cellStyle name="Normal 2 4 3 3 2 3 3 2" xfId="13548" xr:uid="{101603FC-52D9-4A53-AB10-C9D62F3A9FAD}"/>
    <cellStyle name="Normal 2 4 3 3 2 3 4" xfId="9330" xr:uid="{B5FEABF6-E3B2-4D75-A83E-8045FA846195}"/>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0C4BEC62-2442-4B42-9C0F-979CEBE81B81}"/>
    <cellStyle name="Normal 2 4 3 3 2 4 2 3" xfId="11888" xr:uid="{D5F58268-222E-4D94-B00B-6E2B1953AA44}"/>
    <cellStyle name="Normal 2 4 3 3 2 4 3" xfId="5519" xr:uid="{00000000-0005-0000-0000-0000ED0F0000}"/>
    <cellStyle name="Normal 2 4 3 3 2 4 3 2" xfId="13961" xr:uid="{D10A51AD-F432-4CDF-8574-914612828F47}"/>
    <cellStyle name="Normal 2 4 3 3 2 4 4" xfId="9743" xr:uid="{1BEDAD5C-4BC6-4573-9DE8-A5917CC5CE0D}"/>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38183041-53A8-448C-A454-2322CAB964AB}"/>
    <cellStyle name="Normal 2 4 3 3 2 5 2 3" xfId="12301" xr:uid="{755A1296-220D-4006-94E3-796F2B3107E9}"/>
    <cellStyle name="Normal 2 4 3 3 2 5 3" xfId="5932" xr:uid="{00000000-0005-0000-0000-0000F10F0000}"/>
    <cellStyle name="Normal 2 4 3 3 2 5 3 2" xfId="14374" xr:uid="{FC2F979E-BFF4-4E73-B47B-A86EAC58D45B}"/>
    <cellStyle name="Normal 2 4 3 3 2 5 4" xfId="10156" xr:uid="{634CC538-0E66-40D8-8240-2745C56DF3CE}"/>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B5684649-5E15-47E3-9580-91F8CC0F25D9}"/>
    <cellStyle name="Normal 2 4 3 3 2 6 2 3" xfId="12714" xr:uid="{C932932D-A7FA-4BAC-80B4-0A7F21191DE6}"/>
    <cellStyle name="Normal 2 4 3 3 2 6 3" xfId="6345" xr:uid="{00000000-0005-0000-0000-0000F50F0000}"/>
    <cellStyle name="Normal 2 4 3 3 2 6 3 2" xfId="14787" xr:uid="{D706E36A-0AE4-4080-94DF-CBCD87BDB98D}"/>
    <cellStyle name="Normal 2 4 3 3 2 6 4" xfId="10569" xr:uid="{C86913CD-94A4-4F4A-95D3-02BBF4B0A95E}"/>
    <cellStyle name="Normal 2 4 3 3 2 7" xfId="2474" xr:uid="{00000000-0005-0000-0000-0000F60F0000}"/>
    <cellStyle name="Normal 2 4 3 3 2 7 2" xfId="6758" xr:uid="{00000000-0005-0000-0000-0000F70F0000}"/>
    <cellStyle name="Normal 2 4 3 3 2 7 2 2" xfId="15200" xr:uid="{497EC83A-FFDA-4D13-A754-0424295C80D7}"/>
    <cellStyle name="Normal 2 4 3 3 2 7 3" xfId="10982" xr:uid="{3AB7340B-E918-4BB9-B3D1-75FE93A9FB98}"/>
    <cellStyle name="Normal 2 4 3 3 2 8" xfId="4692" xr:uid="{00000000-0005-0000-0000-0000F80F0000}"/>
    <cellStyle name="Normal 2 4 3 3 2 8 2" xfId="13134" xr:uid="{2B16C120-A71F-4E4B-AB5F-F7B2141D6A5D}"/>
    <cellStyle name="Normal 2 4 3 3 2 9" xfId="8916" xr:uid="{8BF75607-E8BE-454E-A1F9-6E44BD97D66A}"/>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D6D43736-CBDA-43FD-A036-35ADF31F1E69}"/>
    <cellStyle name="Normal 2 4 3 3 3 2 2 3" xfId="11477" xr:uid="{3BE324B2-3C46-465C-8D5E-44481FDD8C23}"/>
    <cellStyle name="Normal 2 4 3 3 3 2 3" xfId="5108" xr:uid="{00000000-0005-0000-0000-0000FD0F0000}"/>
    <cellStyle name="Normal 2 4 3 3 3 2 3 2" xfId="13550" xr:uid="{B33484D8-80B2-40ED-B4DB-8E53A5C8541C}"/>
    <cellStyle name="Normal 2 4 3 3 3 2 4" xfId="9332" xr:uid="{6EA025C7-3145-4696-A9F4-1BBD61F05225}"/>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2BC73DB5-2EA8-473B-AECA-C743B158F263}"/>
    <cellStyle name="Normal 2 4 3 3 3 3 2 3" xfId="11890" xr:uid="{09FB0613-9C08-45A4-8AB6-2E28E540FC35}"/>
    <cellStyle name="Normal 2 4 3 3 3 3 3" xfId="5521" xr:uid="{00000000-0005-0000-0000-000001100000}"/>
    <cellStyle name="Normal 2 4 3 3 3 3 3 2" xfId="13963" xr:uid="{3E180F77-1BCD-4C12-9066-D490D35783EB}"/>
    <cellStyle name="Normal 2 4 3 3 3 3 4" xfId="9745" xr:uid="{12D71F32-604D-4770-A384-39A84AD9D281}"/>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F88F093E-0E57-4B2F-9B3C-1A6906743060}"/>
    <cellStyle name="Normal 2 4 3 3 3 4 2 3" xfId="12303" xr:uid="{3C2A1CC2-8C33-4BD8-B3B4-0F7154034F33}"/>
    <cellStyle name="Normal 2 4 3 3 3 4 3" xfId="5934" xr:uid="{00000000-0005-0000-0000-000005100000}"/>
    <cellStyle name="Normal 2 4 3 3 3 4 3 2" xfId="14376" xr:uid="{98C376B7-5417-4AD9-BA2C-199EA9C0D484}"/>
    <cellStyle name="Normal 2 4 3 3 3 4 4" xfId="10158" xr:uid="{8CE23AC8-CF0E-4096-ABD0-353823A76C93}"/>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B94A943B-1C70-4AAE-B0D6-40D60C625829}"/>
    <cellStyle name="Normal 2 4 3 3 3 5 2 3" xfId="12716" xr:uid="{C5F80151-23C5-4D9A-AC0A-9F23CD544668}"/>
    <cellStyle name="Normal 2 4 3 3 3 5 3" xfId="6347" xr:uid="{00000000-0005-0000-0000-000009100000}"/>
    <cellStyle name="Normal 2 4 3 3 3 5 3 2" xfId="14789" xr:uid="{18EFEFE2-8F6A-4DEA-859D-A57FEB570DEB}"/>
    <cellStyle name="Normal 2 4 3 3 3 5 4" xfId="10571" xr:uid="{D9A1F51C-60BB-4949-B043-9156005E294B}"/>
    <cellStyle name="Normal 2 4 3 3 3 6" xfId="2476" xr:uid="{00000000-0005-0000-0000-00000A100000}"/>
    <cellStyle name="Normal 2 4 3 3 3 6 2" xfId="6760" xr:uid="{00000000-0005-0000-0000-00000B100000}"/>
    <cellStyle name="Normal 2 4 3 3 3 6 2 2" xfId="15202" xr:uid="{1909E0F9-EA07-41F3-863F-AAA19468D159}"/>
    <cellStyle name="Normal 2 4 3 3 3 6 3" xfId="10984" xr:uid="{245F0259-FB0B-4E14-B8D5-19DDAA14CDF8}"/>
    <cellStyle name="Normal 2 4 3 3 3 7" xfId="4694" xr:uid="{00000000-0005-0000-0000-00000C100000}"/>
    <cellStyle name="Normal 2 4 3 3 3 7 2" xfId="13136" xr:uid="{3626A820-FA89-468A-8B2B-9C24BCB658EE}"/>
    <cellStyle name="Normal 2 4 3 3 3 8" xfId="8918" xr:uid="{CD47EADF-4C41-4C65-B439-282CFAD49625}"/>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7B9B947E-AEA1-4660-8AD0-265B2C19FD78}"/>
    <cellStyle name="Normal 2 4 3 3 4 2 3" xfId="11474" xr:uid="{9EA194AE-B379-4422-8D01-9F95222E085D}"/>
    <cellStyle name="Normal 2 4 3 3 4 3" xfId="5105" xr:uid="{00000000-0005-0000-0000-000010100000}"/>
    <cellStyle name="Normal 2 4 3 3 4 3 2" xfId="13547" xr:uid="{6F1908F5-60F1-4740-874E-30589691A16D}"/>
    <cellStyle name="Normal 2 4 3 3 4 4" xfId="9329" xr:uid="{33591F82-1B6D-498E-A2C3-B6BE39C235C7}"/>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F6434F94-5A8D-4949-A63A-45BE1B4673BC}"/>
    <cellStyle name="Normal 2 4 3 3 5 2 3" xfId="11887" xr:uid="{6A498EDA-7C4F-4144-951D-7465BB1C88E5}"/>
    <cellStyle name="Normal 2 4 3 3 5 3" xfId="5518" xr:uid="{00000000-0005-0000-0000-000014100000}"/>
    <cellStyle name="Normal 2 4 3 3 5 3 2" xfId="13960" xr:uid="{0EA54518-3BAB-47CB-97EB-2933D001D241}"/>
    <cellStyle name="Normal 2 4 3 3 5 4" xfId="9742" xr:uid="{95DC0090-E777-4075-A0F4-5573442850AE}"/>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6EA95D1D-B84F-45AC-B374-E5A54F609C2D}"/>
    <cellStyle name="Normal 2 4 3 3 6 2 3" xfId="12300" xr:uid="{1BECAE7C-05AD-47DF-BE05-49D960ADCE5C}"/>
    <cellStyle name="Normal 2 4 3 3 6 3" xfId="5931" xr:uid="{00000000-0005-0000-0000-000018100000}"/>
    <cellStyle name="Normal 2 4 3 3 6 3 2" xfId="14373" xr:uid="{0836033F-4EFE-4C9D-82B1-D2FBBC2DB43A}"/>
    <cellStyle name="Normal 2 4 3 3 6 4" xfId="10155" xr:uid="{AC6EB53D-E18A-4D5D-A426-2FB9DC30370D}"/>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A4E112E9-3C01-43E8-A665-E0EA432797D6}"/>
    <cellStyle name="Normal 2 4 3 3 7 2 3" xfId="12713" xr:uid="{145CBC2C-8263-49F2-AED3-1D8431C9E37E}"/>
    <cellStyle name="Normal 2 4 3 3 7 3" xfId="6344" xr:uid="{00000000-0005-0000-0000-00001C100000}"/>
    <cellStyle name="Normal 2 4 3 3 7 3 2" xfId="14786" xr:uid="{C15F0BFC-343A-4CDC-854C-BCF6FE5F0516}"/>
    <cellStyle name="Normal 2 4 3 3 7 4" xfId="10568" xr:uid="{FED34C0E-7750-488F-B434-D6D15BE477D8}"/>
    <cellStyle name="Normal 2 4 3 3 8" xfId="2473" xr:uid="{00000000-0005-0000-0000-00001D100000}"/>
    <cellStyle name="Normal 2 4 3 3 8 2" xfId="6757" xr:uid="{00000000-0005-0000-0000-00001E100000}"/>
    <cellStyle name="Normal 2 4 3 3 8 2 2" xfId="15199" xr:uid="{62DAAC2B-8F4E-44A3-B7E7-196C36FB6C3A}"/>
    <cellStyle name="Normal 2 4 3 3 8 3" xfId="10981" xr:uid="{14BD1B6C-069F-456E-B156-D0744C942025}"/>
    <cellStyle name="Normal 2 4 3 3 9" xfId="4691" xr:uid="{00000000-0005-0000-0000-00001F100000}"/>
    <cellStyle name="Normal 2 4 3 3 9 2" xfId="13133" xr:uid="{170BDA14-A42E-4C41-B427-036E46085459}"/>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647BC004-7C95-4BDC-87A5-D67EBBFE094B}"/>
    <cellStyle name="Normal 2 4 3 4 2 3" xfId="11473" xr:uid="{21F8F0F4-9EA9-4EDA-95B8-1DF223FC3FFD}"/>
    <cellStyle name="Normal 2 4 3 4 3" xfId="5104" xr:uid="{00000000-0005-0000-0000-000023100000}"/>
    <cellStyle name="Normal 2 4 3 4 3 2" xfId="13546" xr:uid="{09A15ACF-89B8-4153-A265-E5CD1B7581F3}"/>
    <cellStyle name="Normal 2 4 3 4 4" xfId="9328" xr:uid="{1B656B02-95D8-429E-9049-CE08BC27AA07}"/>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D56A2971-A0A3-4866-BCD7-6DFC8CFD2CDA}"/>
    <cellStyle name="Normal 2 4 3 5 2 3" xfId="11886" xr:uid="{4D586AD9-1004-4DA4-A469-F79DBC25089E}"/>
    <cellStyle name="Normal 2 4 3 5 3" xfId="5517" xr:uid="{00000000-0005-0000-0000-000027100000}"/>
    <cellStyle name="Normal 2 4 3 5 3 2" xfId="13959" xr:uid="{3F8B86D3-0593-45BC-AABA-179300E67268}"/>
    <cellStyle name="Normal 2 4 3 5 4" xfId="9741" xr:uid="{A9B38DDC-A594-49F1-9B80-D410E610D266}"/>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D6F884D3-8666-4CBE-B698-A8E0B37D1E1C}"/>
    <cellStyle name="Normal 2 4 3 6 2 3" xfId="12299" xr:uid="{F085461C-E9F1-43F3-B4E2-2087BF59E48F}"/>
    <cellStyle name="Normal 2 4 3 6 3" xfId="5930" xr:uid="{00000000-0005-0000-0000-00002B100000}"/>
    <cellStyle name="Normal 2 4 3 6 3 2" xfId="14372" xr:uid="{2B25B34A-4C19-48AB-9685-1CE31D97BA58}"/>
    <cellStyle name="Normal 2 4 3 6 4" xfId="10154" xr:uid="{55E29E29-36BA-4764-8F2F-3493D87D9A64}"/>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9E9AF8E4-E43F-4028-B3CE-9124E198F889}"/>
    <cellStyle name="Normal 2 4 3 7 2 3" xfId="12712" xr:uid="{570D33DB-EA91-4D43-9D3D-B72F0C5A9A9E}"/>
    <cellStyle name="Normal 2 4 3 7 3" xfId="6343" xr:uid="{00000000-0005-0000-0000-00002F100000}"/>
    <cellStyle name="Normal 2 4 3 7 3 2" xfId="14785" xr:uid="{679A60C6-1A74-4AF7-B0E6-04B32FC84C58}"/>
    <cellStyle name="Normal 2 4 3 7 4" xfId="10567" xr:uid="{50E3BC6C-42F5-4BF4-85A1-B8F88656D292}"/>
    <cellStyle name="Normal 2 4 3 8" xfId="2472" xr:uid="{00000000-0005-0000-0000-000030100000}"/>
    <cellStyle name="Normal 2 4 3 8 2" xfId="6756" xr:uid="{00000000-0005-0000-0000-000031100000}"/>
    <cellStyle name="Normal 2 4 3 8 2 2" xfId="15198" xr:uid="{EF679CA3-981E-4D69-A3F0-F725EEF11E5A}"/>
    <cellStyle name="Normal 2 4 3 8 3" xfId="10980" xr:uid="{BDB1A8D9-2366-4A11-ACEC-C3D0A089C865}"/>
    <cellStyle name="Normal 2 4 3 9" xfId="4690" xr:uid="{00000000-0005-0000-0000-000032100000}"/>
    <cellStyle name="Normal 2 4 3 9 2" xfId="13132" xr:uid="{837FEB97-89CB-49B0-A186-D59AFBE2B1B3}"/>
    <cellStyle name="Normal 2 4 4" xfId="302" xr:uid="{00000000-0005-0000-0000-000033100000}"/>
    <cellStyle name="Normal 2 4 5" xfId="303" xr:uid="{00000000-0005-0000-0000-000034100000}"/>
    <cellStyle name="Normal 2 4 5 10" xfId="4695" xr:uid="{00000000-0005-0000-0000-000035100000}"/>
    <cellStyle name="Normal 2 4 5 10 2" xfId="13137" xr:uid="{BD094428-94CA-4055-9E69-901D983B05AB}"/>
    <cellStyle name="Normal 2 4 5 11" xfId="8919" xr:uid="{558E3100-6C55-4644-B212-148FFC609D36}"/>
    <cellStyle name="Normal 2 4 5 2" xfId="304" xr:uid="{00000000-0005-0000-0000-000036100000}"/>
    <cellStyle name="Normal 2 4 5 2 10" xfId="8920" xr:uid="{5E31A92F-6185-4962-9D3B-16990301D589}"/>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9E107F91-88AA-4C53-A745-1F512CFFD7F3}"/>
    <cellStyle name="Normal 2 4 5 2 2 2 2 2 3" xfId="11481" xr:uid="{39F69D57-568F-492F-BF5E-08973ED93EB6}"/>
    <cellStyle name="Normal 2 4 5 2 2 2 2 3" xfId="5112" xr:uid="{00000000-0005-0000-0000-00003C100000}"/>
    <cellStyle name="Normal 2 4 5 2 2 2 2 3 2" xfId="13554" xr:uid="{46DA84C2-7527-47C9-9E8F-30EFE093DAE9}"/>
    <cellStyle name="Normal 2 4 5 2 2 2 2 4" xfId="9336" xr:uid="{A561488F-3F78-419F-ADC5-3090FFE75063}"/>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E0F416C7-20BE-4DC5-8CDF-54FACF5AF845}"/>
    <cellStyle name="Normal 2 4 5 2 2 2 3 2 3" xfId="11894" xr:uid="{511C7256-6AD2-4756-A39C-0153E30675B8}"/>
    <cellStyle name="Normal 2 4 5 2 2 2 3 3" xfId="5525" xr:uid="{00000000-0005-0000-0000-000040100000}"/>
    <cellStyle name="Normal 2 4 5 2 2 2 3 3 2" xfId="13967" xr:uid="{7541C2D0-E99F-4B30-B4DC-1E4862FE46F8}"/>
    <cellStyle name="Normal 2 4 5 2 2 2 3 4" xfId="9749" xr:uid="{28B8C9EF-B887-4195-B427-8242C0A8B1F6}"/>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5587169F-3500-4158-AF23-C85B29D68B43}"/>
    <cellStyle name="Normal 2 4 5 2 2 2 4 2 3" xfId="12307" xr:uid="{B55AD3E1-7A26-4CFB-A942-63E7C49D54D2}"/>
    <cellStyle name="Normal 2 4 5 2 2 2 4 3" xfId="5938" xr:uid="{00000000-0005-0000-0000-000044100000}"/>
    <cellStyle name="Normal 2 4 5 2 2 2 4 3 2" xfId="14380" xr:uid="{DEC005D0-37ED-427B-9CC5-EE7A4A2549B2}"/>
    <cellStyle name="Normal 2 4 5 2 2 2 4 4" xfId="10162" xr:uid="{56A3A169-9761-456E-87DF-94E12CB5BE49}"/>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7EDC9119-D77D-4BA1-9AAD-CDC8A544B11F}"/>
    <cellStyle name="Normal 2 4 5 2 2 2 5 2 3" xfId="12720" xr:uid="{FCD6CFE2-6A95-41AB-9799-DCEE7F72A024}"/>
    <cellStyle name="Normal 2 4 5 2 2 2 5 3" xfId="6351" xr:uid="{00000000-0005-0000-0000-000048100000}"/>
    <cellStyle name="Normal 2 4 5 2 2 2 5 3 2" xfId="14793" xr:uid="{69359E64-D0EA-4446-91D3-DA2E4554809A}"/>
    <cellStyle name="Normal 2 4 5 2 2 2 5 4" xfId="10575" xr:uid="{CBC4E209-9677-4846-80D1-EE646EA8381E}"/>
    <cellStyle name="Normal 2 4 5 2 2 2 6" xfId="2480" xr:uid="{00000000-0005-0000-0000-000049100000}"/>
    <cellStyle name="Normal 2 4 5 2 2 2 6 2" xfId="6764" xr:uid="{00000000-0005-0000-0000-00004A100000}"/>
    <cellStyle name="Normal 2 4 5 2 2 2 6 2 2" xfId="15206" xr:uid="{8B14AC8F-72E4-4F78-8594-BE52A1F322C5}"/>
    <cellStyle name="Normal 2 4 5 2 2 2 6 3" xfId="10988" xr:uid="{17340329-D1AB-4312-9C03-8044E0733B3A}"/>
    <cellStyle name="Normal 2 4 5 2 2 2 7" xfId="4698" xr:uid="{00000000-0005-0000-0000-00004B100000}"/>
    <cellStyle name="Normal 2 4 5 2 2 2 7 2" xfId="13140" xr:uid="{2001C84B-98D3-43A4-83EC-1FC921D8196A}"/>
    <cellStyle name="Normal 2 4 5 2 2 2 8" xfId="8922" xr:uid="{4B6F8E63-61A2-44AE-99BD-37153E1ED367}"/>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4128A7CE-D3CA-4CBC-B82E-17CD5BE567E0}"/>
    <cellStyle name="Normal 2 4 5 2 2 3 2 3" xfId="11480" xr:uid="{9D3F76E5-3DA2-45A6-B466-07131194003F}"/>
    <cellStyle name="Normal 2 4 5 2 2 3 3" xfId="5111" xr:uid="{00000000-0005-0000-0000-00004F100000}"/>
    <cellStyle name="Normal 2 4 5 2 2 3 3 2" xfId="13553" xr:uid="{AD80BFF8-C445-4328-9194-61598A9049FA}"/>
    <cellStyle name="Normal 2 4 5 2 2 3 4" xfId="9335" xr:uid="{B8DE5F08-1A86-48FE-850E-EB1CCB706457}"/>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ED30C9A9-3FCD-4D3D-AD56-F71448EF8A7B}"/>
    <cellStyle name="Normal 2 4 5 2 2 4 2 3" xfId="11893" xr:uid="{70011F1C-A2D2-433F-804E-5D17CB1FF192}"/>
    <cellStyle name="Normal 2 4 5 2 2 4 3" xfId="5524" xr:uid="{00000000-0005-0000-0000-000053100000}"/>
    <cellStyle name="Normal 2 4 5 2 2 4 3 2" xfId="13966" xr:uid="{4C02281E-FE61-4DA1-B49A-322F5465F5E3}"/>
    <cellStyle name="Normal 2 4 5 2 2 4 4" xfId="9748" xr:uid="{BF3C0891-EA4B-47B4-8868-64BEF69BDE21}"/>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CFE639A5-455C-40D4-B95B-EC21B1EABC2A}"/>
    <cellStyle name="Normal 2 4 5 2 2 5 2 3" xfId="12306" xr:uid="{8247B53A-C265-49B1-884A-ABDB0E08BBEC}"/>
    <cellStyle name="Normal 2 4 5 2 2 5 3" xfId="5937" xr:uid="{00000000-0005-0000-0000-000057100000}"/>
    <cellStyle name="Normal 2 4 5 2 2 5 3 2" xfId="14379" xr:uid="{7D9AC16B-0FE5-4EEC-8E14-74996545B001}"/>
    <cellStyle name="Normal 2 4 5 2 2 5 4" xfId="10161" xr:uid="{EF95704B-487E-4643-B195-DDE79DC536EF}"/>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D490C25D-34B1-4EDF-881C-CBD4574EF931}"/>
    <cellStyle name="Normal 2 4 5 2 2 6 2 3" xfId="12719" xr:uid="{7CF0455F-D245-4D5D-BC6D-75AD5F2A480D}"/>
    <cellStyle name="Normal 2 4 5 2 2 6 3" xfId="6350" xr:uid="{00000000-0005-0000-0000-00005B100000}"/>
    <cellStyle name="Normal 2 4 5 2 2 6 3 2" xfId="14792" xr:uid="{BAD53B5E-9EFF-4712-800F-B211837CCB07}"/>
    <cellStyle name="Normal 2 4 5 2 2 6 4" xfId="10574" xr:uid="{684C900E-F9DD-41E1-891E-A7133D1A2706}"/>
    <cellStyle name="Normal 2 4 5 2 2 7" xfId="2479" xr:uid="{00000000-0005-0000-0000-00005C100000}"/>
    <cellStyle name="Normal 2 4 5 2 2 7 2" xfId="6763" xr:uid="{00000000-0005-0000-0000-00005D100000}"/>
    <cellStyle name="Normal 2 4 5 2 2 7 2 2" xfId="15205" xr:uid="{D504ED9D-B675-455F-8AC1-A6E3BFA29B47}"/>
    <cellStyle name="Normal 2 4 5 2 2 7 3" xfId="10987" xr:uid="{0FE273B8-49F2-4242-8FA3-65A3799B655E}"/>
    <cellStyle name="Normal 2 4 5 2 2 8" xfId="4697" xr:uid="{00000000-0005-0000-0000-00005E100000}"/>
    <cellStyle name="Normal 2 4 5 2 2 8 2" xfId="13139" xr:uid="{524C23B2-A6A8-4EE4-B04A-0460178C77AF}"/>
    <cellStyle name="Normal 2 4 5 2 2 9" xfId="8921" xr:uid="{89414144-3E22-4B8A-AE3A-99F926CC4A19}"/>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4DBA69DA-D2C8-47AC-B650-AC00423A9489}"/>
    <cellStyle name="Normal 2 4 5 2 3 2 2 3" xfId="11482" xr:uid="{A2EED9EC-B6A7-4E61-8955-EABA0162936B}"/>
    <cellStyle name="Normal 2 4 5 2 3 2 3" xfId="5113" xr:uid="{00000000-0005-0000-0000-000063100000}"/>
    <cellStyle name="Normal 2 4 5 2 3 2 3 2" xfId="13555" xr:uid="{33036D58-EA10-4F77-9969-B8F164E38CB8}"/>
    <cellStyle name="Normal 2 4 5 2 3 2 4" xfId="9337" xr:uid="{E005024F-172E-4D0B-98F9-7B1912FE3C9C}"/>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B337F520-EE60-4461-A8CC-8F1D7256716D}"/>
    <cellStyle name="Normal 2 4 5 2 3 3 2 3" xfId="11895" xr:uid="{E78CF845-5B03-4647-B58F-4BE9ABFBD761}"/>
    <cellStyle name="Normal 2 4 5 2 3 3 3" xfId="5526" xr:uid="{00000000-0005-0000-0000-000067100000}"/>
    <cellStyle name="Normal 2 4 5 2 3 3 3 2" xfId="13968" xr:uid="{14ABFC79-09AE-4574-8A59-8CFE8BF25A4D}"/>
    <cellStyle name="Normal 2 4 5 2 3 3 4" xfId="9750" xr:uid="{0D778BAC-6103-414C-B5F7-240161E8C49D}"/>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E7A3B1B5-F743-44A5-90B6-5640369E4409}"/>
    <cellStyle name="Normal 2 4 5 2 3 4 2 3" xfId="12308" xr:uid="{F0D811CB-A03B-4C25-9BA8-34D6C48B08F5}"/>
    <cellStyle name="Normal 2 4 5 2 3 4 3" xfId="5939" xr:uid="{00000000-0005-0000-0000-00006B100000}"/>
    <cellStyle name="Normal 2 4 5 2 3 4 3 2" xfId="14381" xr:uid="{0BEEFDD0-3025-4756-B602-DF7978C32115}"/>
    <cellStyle name="Normal 2 4 5 2 3 4 4" xfId="10163" xr:uid="{1E07BEA5-5300-4850-AC41-405788AADDF3}"/>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F8EDE33F-119C-4AE1-A151-B7D34659ACCE}"/>
    <cellStyle name="Normal 2 4 5 2 3 5 2 3" xfId="12721" xr:uid="{EA4766A8-416C-40A2-B270-DF0A9C460514}"/>
    <cellStyle name="Normal 2 4 5 2 3 5 3" xfId="6352" xr:uid="{00000000-0005-0000-0000-00006F100000}"/>
    <cellStyle name="Normal 2 4 5 2 3 5 3 2" xfId="14794" xr:uid="{5043F844-A8C6-4D20-98D0-4D0684BCBEC2}"/>
    <cellStyle name="Normal 2 4 5 2 3 5 4" xfId="10576" xr:uid="{653DB297-57D1-4A56-9AA5-ADE79045FC97}"/>
    <cellStyle name="Normal 2 4 5 2 3 6" xfId="2481" xr:uid="{00000000-0005-0000-0000-000070100000}"/>
    <cellStyle name="Normal 2 4 5 2 3 6 2" xfId="6765" xr:uid="{00000000-0005-0000-0000-000071100000}"/>
    <cellStyle name="Normal 2 4 5 2 3 6 2 2" xfId="15207" xr:uid="{27D81508-1BEE-4DB8-8B68-0B29716D849B}"/>
    <cellStyle name="Normal 2 4 5 2 3 6 3" xfId="10989" xr:uid="{62CA70B4-BEA8-492F-841C-B8BB8F2256B8}"/>
    <cellStyle name="Normal 2 4 5 2 3 7" xfId="4699" xr:uid="{00000000-0005-0000-0000-000072100000}"/>
    <cellStyle name="Normal 2 4 5 2 3 7 2" xfId="13141" xr:uid="{C7B97F6B-6CEC-4807-B364-A8909025C9B4}"/>
    <cellStyle name="Normal 2 4 5 2 3 8" xfId="8923" xr:uid="{50ECE4F7-9A02-4B4D-9419-5093E6B48E36}"/>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F89B79A0-7B5B-41E7-94E2-22E37E91075D}"/>
    <cellStyle name="Normal 2 4 5 2 4 2 3" xfId="11479" xr:uid="{B977F268-E99D-4BA4-9D43-0D1AA6C5E8D3}"/>
    <cellStyle name="Normal 2 4 5 2 4 3" xfId="5110" xr:uid="{00000000-0005-0000-0000-000076100000}"/>
    <cellStyle name="Normal 2 4 5 2 4 3 2" xfId="13552" xr:uid="{867E3297-C5FF-4861-BACB-49E5CC2B70B7}"/>
    <cellStyle name="Normal 2 4 5 2 4 4" xfId="9334" xr:uid="{CD7180C5-7947-4F93-9B9B-D2CB04FE0226}"/>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04AE06C0-16A1-49FC-B076-A24B64CC7340}"/>
    <cellStyle name="Normal 2 4 5 2 5 2 3" xfId="11892" xr:uid="{A9002E0D-2364-4025-A239-00079579BA4F}"/>
    <cellStyle name="Normal 2 4 5 2 5 3" xfId="5523" xr:uid="{00000000-0005-0000-0000-00007A100000}"/>
    <cellStyle name="Normal 2 4 5 2 5 3 2" xfId="13965" xr:uid="{1FCE076D-CD13-404E-92BB-8F659ECCDD62}"/>
    <cellStyle name="Normal 2 4 5 2 5 4" xfId="9747" xr:uid="{EE79E228-2F52-4257-9F68-E65F8DCD04F9}"/>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CE65B095-CA71-4446-9301-6F4DA97A25BB}"/>
    <cellStyle name="Normal 2 4 5 2 6 2 3" xfId="12305" xr:uid="{94CA82D3-DB01-41DD-B6A2-F40AEF575228}"/>
    <cellStyle name="Normal 2 4 5 2 6 3" xfId="5936" xr:uid="{00000000-0005-0000-0000-00007E100000}"/>
    <cellStyle name="Normal 2 4 5 2 6 3 2" xfId="14378" xr:uid="{23F2FC93-1E0D-424D-BD1F-AC00AFF80B68}"/>
    <cellStyle name="Normal 2 4 5 2 6 4" xfId="10160" xr:uid="{070A4C7B-4495-4C30-9454-AECCA2B74297}"/>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66D62C6B-6CDB-418F-9613-06A67ECDEF79}"/>
    <cellStyle name="Normal 2 4 5 2 7 2 3" xfId="12718" xr:uid="{0FD07A17-23EC-47D5-890A-E31025709411}"/>
    <cellStyle name="Normal 2 4 5 2 7 3" xfId="6349" xr:uid="{00000000-0005-0000-0000-000082100000}"/>
    <cellStyle name="Normal 2 4 5 2 7 3 2" xfId="14791" xr:uid="{2938F014-2B53-40AB-82A7-282ADCC525CD}"/>
    <cellStyle name="Normal 2 4 5 2 7 4" xfId="10573" xr:uid="{AD32D66A-316F-4A69-B509-078DCFA86F96}"/>
    <cellStyle name="Normal 2 4 5 2 8" xfId="2478" xr:uid="{00000000-0005-0000-0000-000083100000}"/>
    <cellStyle name="Normal 2 4 5 2 8 2" xfId="6762" xr:uid="{00000000-0005-0000-0000-000084100000}"/>
    <cellStyle name="Normal 2 4 5 2 8 2 2" xfId="15204" xr:uid="{71E82A00-0A02-46B5-BB8C-D1EF53C05DEC}"/>
    <cellStyle name="Normal 2 4 5 2 8 3" xfId="10986" xr:uid="{D5D935E6-EB88-4138-9C00-7A463EB062DD}"/>
    <cellStyle name="Normal 2 4 5 2 9" xfId="4696" xr:uid="{00000000-0005-0000-0000-000085100000}"/>
    <cellStyle name="Normal 2 4 5 2 9 2" xfId="13138" xr:uid="{5B78E445-2F04-4D4F-9260-D1F9ECF510D2}"/>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A61C33FB-D388-4483-82A4-2E5B7F7CD65E}"/>
    <cellStyle name="Normal 2 4 5 3 2 2 2 3" xfId="11484" xr:uid="{124CE0AE-6D96-411D-9547-5281974C4366}"/>
    <cellStyle name="Normal 2 4 5 3 2 2 3" xfId="5115" xr:uid="{00000000-0005-0000-0000-00008B100000}"/>
    <cellStyle name="Normal 2 4 5 3 2 2 3 2" xfId="13557" xr:uid="{D2965ECF-CF12-4114-9A08-BE16641B998B}"/>
    <cellStyle name="Normal 2 4 5 3 2 2 4" xfId="9339" xr:uid="{E38C8AC0-E30D-4309-9B17-900421D5E5A3}"/>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F8FB063E-F5BF-4173-93CD-70F226226750}"/>
    <cellStyle name="Normal 2 4 5 3 2 3 2 3" xfId="11897" xr:uid="{7E4DA59B-A4D8-46C1-A306-0970551872E7}"/>
    <cellStyle name="Normal 2 4 5 3 2 3 3" xfId="5528" xr:uid="{00000000-0005-0000-0000-00008F100000}"/>
    <cellStyle name="Normal 2 4 5 3 2 3 3 2" xfId="13970" xr:uid="{801B75B4-98BC-49D9-869B-795294D5B992}"/>
    <cellStyle name="Normal 2 4 5 3 2 3 4" xfId="9752" xr:uid="{02E9032E-958E-41C6-8E66-80B26EE5C9A8}"/>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A610C2A7-DED9-4614-9670-21D5135D0967}"/>
    <cellStyle name="Normal 2 4 5 3 2 4 2 3" xfId="12310" xr:uid="{A02131DB-84AF-44E7-8657-6AB1351C6346}"/>
    <cellStyle name="Normal 2 4 5 3 2 4 3" xfId="5941" xr:uid="{00000000-0005-0000-0000-000093100000}"/>
    <cellStyle name="Normal 2 4 5 3 2 4 3 2" xfId="14383" xr:uid="{A39AE8BD-1678-49F6-9964-6E260ED4F346}"/>
    <cellStyle name="Normal 2 4 5 3 2 4 4" xfId="10165" xr:uid="{CF15D9F7-442F-4584-AE81-BA1C174AD65E}"/>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2EAA5EEE-73A6-45E7-8FEC-7F70C45AB61A}"/>
    <cellStyle name="Normal 2 4 5 3 2 5 2 3" xfId="12723" xr:uid="{E1B10687-5389-4594-8A2A-EDCE5D20DA4A}"/>
    <cellStyle name="Normal 2 4 5 3 2 5 3" xfId="6354" xr:uid="{00000000-0005-0000-0000-000097100000}"/>
    <cellStyle name="Normal 2 4 5 3 2 5 3 2" xfId="14796" xr:uid="{839385C2-B384-427D-9EB7-A447D72E9276}"/>
    <cellStyle name="Normal 2 4 5 3 2 5 4" xfId="10578" xr:uid="{FEA7B6BF-18DA-4014-BDE4-16035CE55832}"/>
    <cellStyle name="Normal 2 4 5 3 2 6" xfId="2483" xr:uid="{00000000-0005-0000-0000-000098100000}"/>
    <cellStyle name="Normal 2 4 5 3 2 6 2" xfId="6767" xr:uid="{00000000-0005-0000-0000-000099100000}"/>
    <cellStyle name="Normal 2 4 5 3 2 6 2 2" xfId="15209" xr:uid="{E7A93779-87F5-432D-AB17-255D590713CE}"/>
    <cellStyle name="Normal 2 4 5 3 2 6 3" xfId="10991" xr:uid="{4F47495C-E0FA-47DB-9000-42B4636CF5D4}"/>
    <cellStyle name="Normal 2 4 5 3 2 7" xfId="4701" xr:uid="{00000000-0005-0000-0000-00009A100000}"/>
    <cellStyle name="Normal 2 4 5 3 2 7 2" xfId="13143" xr:uid="{C76EC510-4180-40B6-BBEF-7B3F1C3F0093}"/>
    <cellStyle name="Normal 2 4 5 3 2 8" xfId="8925" xr:uid="{8DA6FF25-DA95-46B8-A24B-C5C7AAE5973B}"/>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B7786260-C553-4B14-8A0C-3423DDBBB8CD}"/>
    <cellStyle name="Normal 2 4 5 3 3 2 3" xfId="11483" xr:uid="{9AFECB04-89AC-453D-90E6-4AF53117D1BC}"/>
    <cellStyle name="Normal 2 4 5 3 3 3" xfId="5114" xr:uid="{00000000-0005-0000-0000-00009E100000}"/>
    <cellStyle name="Normal 2 4 5 3 3 3 2" xfId="13556" xr:uid="{D5FD8027-A631-4126-9B61-D0EDCA50F39D}"/>
    <cellStyle name="Normal 2 4 5 3 3 4" xfId="9338" xr:uid="{C1413951-DCE0-4D3F-B5A9-A38DCECF3482}"/>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D895C4E1-3454-414A-AA51-C5A0B8C56530}"/>
    <cellStyle name="Normal 2 4 5 3 4 2 3" xfId="11896" xr:uid="{F04C32ED-B42E-4005-A81A-C630C9306D1B}"/>
    <cellStyle name="Normal 2 4 5 3 4 3" xfId="5527" xr:uid="{00000000-0005-0000-0000-0000A2100000}"/>
    <cellStyle name="Normal 2 4 5 3 4 3 2" xfId="13969" xr:uid="{5341C6AD-77D2-44E3-ACA2-0E9FE827BD7F}"/>
    <cellStyle name="Normal 2 4 5 3 4 4" xfId="9751" xr:uid="{6ABD98E3-4109-4765-B48F-856CD956290D}"/>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623853D4-F431-4900-B341-A600649582C0}"/>
    <cellStyle name="Normal 2 4 5 3 5 2 3" xfId="12309" xr:uid="{96217FC8-30DB-4541-9423-875043C92346}"/>
    <cellStyle name="Normal 2 4 5 3 5 3" xfId="5940" xr:uid="{00000000-0005-0000-0000-0000A6100000}"/>
    <cellStyle name="Normal 2 4 5 3 5 3 2" xfId="14382" xr:uid="{30817D1E-5E7D-4690-AB26-8807B01ED2A4}"/>
    <cellStyle name="Normal 2 4 5 3 5 4" xfId="10164" xr:uid="{2FE8584C-DB44-45FB-9F2A-DE7F9D478D0C}"/>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4D2C16DF-ACB7-41A2-9662-8F659B05B1A1}"/>
    <cellStyle name="Normal 2 4 5 3 6 2 3" xfId="12722" xr:uid="{19A502FE-6793-40B1-A025-E70B0CD36308}"/>
    <cellStyle name="Normal 2 4 5 3 6 3" xfId="6353" xr:uid="{00000000-0005-0000-0000-0000AA100000}"/>
    <cellStyle name="Normal 2 4 5 3 6 3 2" xfId="14795" xr:uid="{2DB6C19B-3CA4-4759-933A-50B7736BC0EA}"/>
    <cellStyle name="Normal 2 4 5 3 6 4" xfId="10577" xr:uid="{B6F641F0-5835-4B7A-9E13-DCCD16A23FF4}"/>
    <cellStyle name="Normal 2 4 5 3 7" xfId="2482" xr:uid="{00000000-0005-0000-0000-0000AB100000}"/>
    <cellStyle name="Normal 2 4 5 3 7 2" xfId="6766" xr:uid="{00000000-0005-0000-0000-0000AC100000}"/>
    <cellStyle name="Normal 2 4 5 3 7 2 2" xfId="15208" xr:uid="{0F25C83A-A6BD-4C57-94BE-607700BAAACF}"/>
    <cellStyle name="Normal 2 4 5 3 7 3" xfId="10990" xr:uid="{5A08C612-0459-42D3-A13C-F984623F1D19}"/>
    <cellStyle name="Normal 2 4 5 3 8" xfId="4700" xr:uid="{00000000-0005-0000-0000-0000AD100000}"/>
    <cellStyle name="Normal 2 4 5 3 8 2" xfId="13142" xr:uid="{5FA5BCC5-CE8F-4A78-B18C-6EEAD1B77123}"/>
    <cellStyle name="Normal 2 4 5 3 9" xfId="8924" xr:uid="{959180EA-2539-4D07-996A-9598E545208F}"/>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D7BCCA2B-1F85-4BA9-A3AA-E2D17D54382A}"/>
    <cellStyle name="Normal 2 4 5 4 2 2 3" xfId="11485" xr:uid="{BDF65DC4-118D-4DB3-92E0-E9211087F6DE}"/>
    <cellStyle name="Normal 2 4 5 4 2 3" xfId="5116" xr:uid="{00000000-0005-0000-0000-0000B2100000}"/>
    <cellStyle name="Normal 2 4 5 4 2 3 2" xfId="13558" xr:uid="{689FD9F9-38DA-495E-B0D0-9910DDD3EDDA}"/>
    <cellStyle name="Normal 2 4 5 4 2 4" xfId="9340" xr:uid="{601B043A-17F1-4306-9E69-8F63A4F515B0}"/>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DA1F5ED9-BFE3-4F78-9AE1-A00C6B5BE67D}"/>
    <cellStyle name="Normal 2 4 5 4 3 2 3" xfId="11898" xr:uid="{8E4C8766-EC40-4D2A-896D-2504033CF627}"/>
    <cellStyle name="Normal 2 4 5 4 3 3" xfId="5529" xr:uid="{00000000-0005-0000-0000-0000B6100000}"/>
    <cellStyle name="Normal 2 4 5 4 3 3 2" xfId="13971" xr:uid="{125BEDF8-FE17-4E49-92E1-8A2D6D9FEACA}"/>
    <cellStyle name="Normal 2 4 5 4 3 4" xfId="9753" xr:uid="{8055844B-662A-460C-9D8B-31B53F955E73}"/>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BECA8E33-0084-490A-BFD2-EC4A98785981}"/>
    <cellStyle name="Normal 2 4 5 4 4 2 3" xfId="12311" xr:uid="{EFCE80F1-D1C8-46F1-B95F-B7A63FCB8199}"/>
    <cellStyle name="Normal 2 4 5 4 4 3" xfId="5942" xr:uid="{00000000-0005-0000-0000-0000BA100000}"/>
    <cellStyle name="Normal 2 4 5 4 4 3 2" xfId="14384" xr:uid="{4791EAF3-8FB9-4FBD-9271-5FD9BDDF937B}"/>
    <cellStyle name="Normal 2 4 5 4 4 4" xfId="10166" xr:uid="{211AA50C-9D1B-4838-A38A-F5C5EA201863}"/>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09A18A3C-7008-47B5-A83B-0544B118FA06}"/>
    <cellStyle name="Normal 2 4 5 4 5 2 3" xfId="12724" xr:uid="{E21A8C83-2049-4E91-8D0D-52833BB590BE}"/>
    <cellStyle name="Normal 2 4 5 4 5 3" xfId="6355" xr:uid="{00000000-0005-0000-0000-0000BE100000}"/>
    <cellStyle name="Normal 2 4 5 4 5 3 2" xfId="14797" xr:uid="{BA9921E8-D2D1-4660-9ABB-CD638DF8D570}"/>
    <cellStyle name="Normal 2 4 5 4 5 4" xfId="10579" xr:uid="{69C0000A-BC19-466A-8311-2F6BC7DF49E8}"/>
    <cellStyle name="Normal 2 4 5 4 6" xfId="2484" xr:uid="{00000000-0005-0000-0000-0000BF100000}"/>
    <cellStyle name="Normal 2 4 5 4 6 2" xfId="6768" xr:uid="{00000000-0005-0000-0000-0000C0100000}"/>
    <cellStyle name="Normal 2 4 5 4 6 2 2" xfId="15210" xr:uid="{C2BFE600-DED3-4E81-8A73-D0D691C7E76F}"/>
    <cellStyle name="Normal 2 4 5 4 6 3" xfId="10992" xr:uid="{DD01DDEE-BB6A-48BA-80E7-0581552EE3A3}"/>
    <cellStyle name="Normal 2 4 5 4 7" xfId="4702" xr:uid="{00000000-0005-0000-0000-0000C1100000}"/>
    <cellStyle name="Normal 2 4 5 4 7 2" xfId="13144" xr:uid="{FE1CAF11-7EB9-4266-9EA7-24CC804BA628}"/>
    <cellStyle name="Normal 2 4 5 4 8" xfId="8926" xr:uid="{FC37F305-7352-4400-8D11-0EA02C795154}"/>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29571705-14FD-4A8D-A565-0594BAF78071}"/>
    <cellStyle name="Normal 2 4 5 5 2 3" xfId="11478" xr:uid="{0CC7D7C3-BEFC-496F-BD64-83799A1BDC68}"/>
    <cellStyle name="Normal 2 4 5 5 3" xfId="5109" xr:uid="{00000000-0005-0000-0000-0000C5100000}"/>
    <cellStyle name="Normal 2 4 5 5 3 2" xfId="13551" xr:uid="{9A11758B-BB45-40C7-A7CF-68647579F985}"/>
    <cellStyle name="Normal 2 4 5 5 4" xfId="9333" xr:uid="{F130490A-9861-477B-8871-E2D57C1E2FB5}"/>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5A1D17D4-8707-4EE9-8A3A-7030F7955719}"/>
    <cellStyle name="Normal 2 4 5 6 2 3" xfId="11891" xr:uid="{DCDFE56D-4848-4831-8E8C-C261B800D712}"/>
    <cellStyle name="Normal 2 4 5 6 3" xfId="5522" xr:uid="{00000000-0005-0000-0000-0000C9100000}"/>
    <cellStyle name="Normal 2 4 5 6 3 2" xfId="13964" xr:uid="{28524016-2C4C-44F9-A2BC-423E345608AE}"/>
    <cellStyle name="Normal 2 4 5 6 4" xfId="9746" xr:uid="{E693FE3D-9B6D-4487-8056-5CD9F406B6AF}"/>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B5039CFD-E81C-4513-8D28-F07C33262CB7}"/>
    <cellStyle name="Normal 2 4 5 7 2 3" xfId="12304" xr:uid="{724B0133-46F0-4E2E-8C5C-CE45FF5BFBCF}"/>
    <cellStyle name="Normal 2 4 5 7 3" xfId="5935" xr:uid="{00000000-0005-0000-0000-0000CD100000}"/>
    <cellStyle name="Normal 2 4 5 7 3 2" xfId="14377" xr:uid="{6B4D652B-75E4-43D0-B1E1-ACD805F53E56}"/>
    <cellStyle name="Normal 2 4 5 7 4" xfId="10159" xr:uid="{F2655D00-44D8-4224-AA9B-D5D81E3D6A01}"/>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5AD0895C-E29A-4782-8459-CE8511633DDA}"/>
    <cellStyle name="Normal 2 4 5 8 2 3" xfId="12717" xr:uid="{D5ED7525-22E4-4945-B124-A4CDF04EFDED}"/>
    <cellStyle name="Normal 2 4 5 8 3" xfId="6348" xr:uid="{00000000-0005-0000-0000-0000D1100000}"/>
    <cellStyle name="Normal 2 4 5 8 3 2" xfId="14790" xr:uid="{8BA63D94-BBE4-41AF-BF5C-EF8179CCAE39}"/>
    <cellStyle name="Normal 2 4 5 8 4" xfId="10572" xr:uid="{6F3DA117-ACF9-41D5-B5C3-87B1A71984F2}"/>
    <cellStyle name="Normal 2 4 5 9" xfId="2477" xr:uid="{00000000-0005-0000-0000-0000D2100000}"/>
    <cellStyle name="Normal 2 4 5 9 2" xfId="6761" xr:uid="{00000000-0005-0000-0000-0000D3100000}"/>
    <cellStyle name="Normal 2 4 5 9 2 2" xfId="15203" xr:uid="{ED76D5AE-C0EA-4FE3-A596-F65E365346C9}"/>
    <cellStyle name="Normal 2 4 5 9 3" xfId="10985" xr:uid="{BE34D48F-DE51-4227-A870-4662CAABD5F7}"/>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92A2EDFE-646C-40AD-A6CC-EFD9A5E38021}"/>
    <cellStyle name="Normal 2 4 7 2 2 2 3" xfId="11487" xr:uid="{92B9F941-4CCB-45DD-8196-046C47898F9D}"/>
    <cellStyle name="Normal 2 4 7 2 2 3" xfId="5118" xr:uid="{00000000-0005-0000-0000-0000DA100000}"/>
    <cellStyle name="Normal 2 4 7 2 2 3 2" xfId="13560" xr:uid="{DADF2AC8-5E24-43DE-A0EF-F00DEE51C493}"/>
    <cellStyle name="Normal 2 4 7 2 2 4" xfId="9342" xr:uid="{8674712B-9EF1-44CC-8D4C-836E5329E6E4}"/>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A421ECF3-3464-46D8-B25E-FB9C5C4D124B}"/>
    <cellStyle name="Normal 2 4 7 2 3 2 3" xfId="11900" xr:uid="{DAF25587-6634-4007-9331-A19CA21DF38D}"/>
    <cellStyle name="Normal 2 4 7 2 3 3" xfId="5531" xr:uid="{00000000-0005-0000-0000-0000DE100000}"/>
    <cellStyle name="Normal 2 4 7 2 3 3 2" xfId="13973" xr:uid="{FFBC006A-730A-4B89-BBF8-0FBF3B894DC4}"/>
    <cellStyle name="Normal 2 4 7 2 3 4" xfId="9755" xr:uid="{01270E34-5DB3-4DC1-97D1-B70D29775EF3}"/>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BFDE98C4-94AE-476F-8C42-D1241C263C8F}"/>
    <cellStyle name="Normal 2 4 7 2 4 2 3" xfId="12313" xr:uid="{865BFC5E-9A99-4881-AC86-4387D23C9B37}"/>
    <cellStyle name="Normal 2 4 7 2 4 3" xfId="5944" xr:uid="{00000000-0005-0000-0000-0000E2100000}"/>
    <cellStyle name="Normal 2 4 7 2 4 3 2" xfId="14386" xr:uid="{B568D08B-8435-4EBB-9582-258FF7C91967}"/>
    <cellStyle name="Normal 2 4 7 2 4 4" xfId="10168" xr:uid="{2E87D999-C7F9-4F6B-9887-2738262A07FD}"/>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AFA56BEB-0562-4ACC-8470-84345F7389BA}"/>
    <cellStyle name="Normal 2 4 7 2 5 2 3" xfId="12726" xr:uid="{38D76F3E-B2E7-456F-8A42-5CCA52358269}"/>
    <cellStyle name="Normal 2 4 7 2 5 3" xfId="6357" xr:uid="{00000000-0005-0000-0000-0000E6100000}"/>
    <cellStyle name="Normal 2 4 7 2 5 3 2" xfId="14799" xr:uid="{2FB6A77E-7BB8-4E80-BE87-B564CBBE9F85}"/>
    <cellStyle name="Normal 2 4 7 2 5 4" xfId="10581" xr:uid="{417E3AC5-4353-4205-BFFC-6D178A9402A4}"/>
    <cellStyle name="Normal 2 4 7 2 6" xfId="2486" xr:uid="{00000000-0005-0000-0000-0000E7100000}"/>
    <cellStyle name="Normal 2 4 7 2 6 2" xfId="6770" xr:uid="{00000000-0005-0000-0000-0000E8100000}"/>
    <cellStyle name="Normal 2 4 7 2 6 2 2" xfId="15212" xr:uid="{FBDCFF2A-7A6F-4056-A821-6A0CC2EF8191}"/>
    <cellStyle name="Normal 2 4 7 2 6 3" xfId="10994" xr:uid="{AA40D3A5-51FA-4D43-B9D9-54583A5FF4A7}"/>
    <cellStyle name="Normal 2 4 7 2 7" xfId="4704" xr:uid="{00000000-0005-0000-0000-0000E9100000}"/>
    <cellStyle name="Normal 2 4 7 2 7 2" xfId="13146" xr:uid="{75023C22-C6DF-47E5-821E-777B0A792739}"/>
    <cellStyle name="Normal 2 4 7 2 8" xfId="8928" xr:uid="{628616BD-531D-4060-ADC5-7AB9F759F20D}"/>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781214AC-E035-47AE-9280-020A5B68BD6C}"/>
    <cellStyle name="Normal 2 4 7 3 2 3" xfId="11486" xr:uid="{87627E50-B500-490C-8526-3CB9EDBD86B2}"/>
    <cellStyle name="Normal 2 4 7 3 3" xfId="5117" xr:uid="{00000000-0005-0000-0000-0000ED100000}"/>
    <cellStyle name="Normal 2 4 7 3 3 2" xfId="13559" xr:uid="{7A82D194-F8EE-4647-BCC0-5358AF8AC345}"/>
    <cellStyle name="Normal 2 4 7 3 4" xfId="9341" xr:uid="{6E2D6E06-ACE4-41BB-A1FB-71F4688CEFF7}"/>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9EEE1711-8C75-4D44-87B8-C3F2E2E38B59}"/>
    <cellStyle name="Normal 2 4 7 4 2 3" xfId="11899" xr:uid="{3294063A-D379-4128-BF4C-69020BE2075D}"/>
    <cellStyle name="Normal 2 4 7 4 3" xfId="5530" xr:uid="{00000000-0005-0000-0000-0000F1100000}"/>
    <cellStyle name="Normal 2 4 7 4 3 2" xfId="13972" xr:uid="{43379A14-D175-4064-A65E-643AE80D339F}"/>
    <cellStyle name="Normal 2 4 7 4 4" xfId="9754" xr:uid="{55096E6E-81E0-48A5-A1CF-4DB2611F23FC}"/>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A35D9C6E-EFE7-439A-BB3E-58C2D44F56B4}"/>
    <cellStyle name="Normal 2 4 7 5 2 3" xfId="12312" xr:uid="{296764F0-E941-4D53-98BC-65F0A8FC26F4}"/>
    <cellStyle name="Normal 2 4 7 5 3" xfId="5943" xr:uid="{00000000-0005-0000-0000-0000F5100000}"/>
    <cellStyle name="Normal 2 4 7 5 3 2" xfId="14385" xr:uid="{6DA99782-03F1-4C83-B647-F849263C9630}"/>
    <cellStyle name="Normal 2 4 7 5 4" xfId="10167" xr:uid="{8F732B33-A682-4842-A1A2-6590F6283AAF}"/>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0B0C4A4B-56BF-4AD9-929B-B60C79A7E5BE}"/>
    <cellStyle name="Normal 2 4 7 6 2 3" xfId="12725" xr:uid="{F818BC6C-D82E-4E40-B2FE-B0139EBB954A}"/>
    <cellStyle name="Normal 2 4 7 6 3" xfId="6356" xr:uid="{00000000-0005-0000-0000-0000F9100000}"/>
    <cellStyle name="Normal 2 4 7 6 3 2" xfId="14798" xr:uid="{C82C320C-C222-43D5-9676-E7B83C693F37}"/>
    <cellStyle name="Normal 2 4 7 6 4" xfId="10580" xr:uid="{3BA489C5-A972-4956-849A-CB5A63802D3E}"/>
    <cellStyle name="Normal 2 4 7 7" xfId="2485" xr:uid="{00000000-0005-0000-0000-0000FA100000}"/>
    <cellStyle name="Normal 2 4 7 7 2" xfId="6769" xr:uid="{00000000-0005-0000-0000-0000FB100000}"/>
    <cellStyle name="Normal 2 4 7 7 2 2" xfId="15211" xr:uid="{9E1669FA-704D-43EF-8C17-2B51B1D1A101}"/>
    <cellStyle name="Normal 2 4 7 7 3" xfId="10993" xr:uid="{30A052CF-7DFD-483E-B96E-16161B685876}"/>
    <cellStyle name="Normal 2 4 7 8" xfId="4703" xr:uid="{00000000-0005-0000-0000-0000FC100000}"/>
    <cellStyle name="Normal 2 4 7 8 2" xfId="13145" xr:uid="{872B0864-412F-41E9-AE58-DCAF3B75B4E4}"/>
    <cellStyle name="Normal 2 4 7 9" xfId="8927" xr:uid="{50223E36-649C-45D8-8312-A553CEFFFE51}"/>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D8F1057E-0217-4660-B927-B29107B28472}"/>
    <cellStyle name="Normal 2 4 8 2 2 3" xfId="11488" xr:uid="{24C439D0-78EB-4C8A-9F25-8CFCBBFAA872}"/>
    <cellStyle name="Normal 2 4 8 2 3" xfId="5119" xr:uid="{00000000-0005-0000-0000-000001110000}"/>
    <cellStyle name="Normal 2 4 8 2 3 2" xfId="13561" xr:uid="{6E48AACB-5CF9-46EC-8CE1-33B4329AE0A9}"/>
    <cellStyle name="Normal 2 4 8 2 4" xfId="9343" xr:uid="{D668C2FE-981E-4A3A-9945-DBEB74AAF2F4}"/>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CB76D1F1-8D92-4657-98A5-4CC9C031F18D}"/>
    <cellStyle name="Normal 2 4 8 3 2 3" xfId="11901" xr:uid="{B2C7C516-9DA7-4128-A718-14084C6DB07E}"/>
    <cellStyle name="Normal 2 4 8 3 3" xfId="5532" xr:uid="{00000000-0005-0000-0000-000005110000}"/>
    <cellStyle name="Normal 2 4 8 3 3 2" xfId="13974" xr:uid="{8D78CDC0-BD66-4C5E-91B4-AA34C751187F}"/>
    <cellStyle name="Normal 2 4 8 3 4" xfId="9756" xr:uid="{14ED45FC-A80C-4346-B9F9-2989163B8141}"/>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2A8B4C05-5B54-4A5D-8110-6557EB3DBB58}"/>
    <cellStyle name="Normal 2 4 8 4 2 3" xfId="12314" xr:uid="{AB053374-7A7F-4EB5-A5C6-8293779F9F53}"/>
    <cellStyle name="Normal 2 4 8 4 3" xfId="5945" xr:uid="{00000000-0005-0000-0000-000009110000}"/>
    <cellStyle name="Normal 2 4 8 4 3 2" xfId="14387" xr:uid="{948E1F61-2AF7-4D2F-B2B3-F51622474468}"/>
    <cellStyle name="Normal 2 4 8 4 4" xfId="10169" xr:uid="{383D5596-747C-4C55-8F18-BA75EBF565DA}"/>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82235B8E-2171-4ADB-A5F9-ED9389A7D213}"/>
    <cellStyle name="Normal 2 4 8 5 2 3" xfId="12727" xr:uid="{9C215FAA-D46C-45AA-B7C3-B55E078C7287}"/>
    <cellStyle name="Normal 2 4 8 5 3" xfId="6358" xr:uid="{00000000-0005-0000-0000-00000D110000}"/>
    <cellStyle name="Normal 2 4 8 5 3 2" xfId="14800" xr:uid="{A6084685-320D-469C-949B-5A0AF59CAB85}"/>
    <cellStyle name="Normal 2 4 8 5 4" xfId="10582" xr:uid="{ADDAAC8A-C28F-4252-B48C-50025F909E05}"/>
    <cellStyle name="Normal 2 4 8 6" xfId="2487" xr:uid="{00000000-0005-0000-0000-00000E110000}"/>
    <cellStyle name="Normal 2 4 8 6 2" xfId="6771" xr:uid="{00000000-0005-0000-0000-00000F110000}"/>
    <cellStyle name="Normal 2 4 8 6 2 2" xfId="15213" xr:uid="{0FC9BEC6-B315-4BC5-B388-D6A1CD6C4DCF}"/>
    <cellStyle name="Normal 2 4 8 6 3" xfId="10995" xr:uid="{E03A59AF-D300-4198-9AC4-BC80F3E97C03}"/>
    <cellStyle name="Normal 2 4 8 7" xfId="4705" xr:uid="{00000000-0005-0000-0000-000010110000}"/>
    <cellStyle name="Normal 2 4 8 7 2" xfId="13147" xr:uid="{CEEE18EB-D0D6-4A8F-B7E0-E99AFE57B22B}"/>
    <cellStyle name="Normal 2 4 8 8" xfId="8929" xr:uid="{69AAF82C-67D0-48A1-91FD-4DE7B052B1CC}"/>
    <cellStyle name="Normal 2 5" xfId="315" xr:uid="{00000000-0005-0000-0000-000011110000}"/>
    <cellStyle name="Normal 2 5 10" xfId="4706" xr:uid="{00000000-0005-0000-0000-000012110000}"/>
    <cellStyle name="Normal 2 5 10 2" xfId="13148" xr:uid="{0CC78902-0EB8-42C6-A23F-7506D63128A5}"/>
    <cellStyle name="Normal 2 5 11" xfId="8930" xr:uid="{965DD90D-0246-48BE-BBD3-A89F8C411FAB}"/>
    <cellStyle name="Normal 2 5 2" xfId="316" xr:uid="{00000000-0005-0000-0000-000013110000}"/>
    <cellStyle name="Normal 2 5 3" xfId="317" xr:uid="{00000000-0005-0000-0000-000014110000}"/>
    <cellStyle name="Normal 2 5 4" xfId="318" xr:uid="{00000000-0005-0000-0000-000015110000}"/>
    <cellStyle name="Normal 2 5 4 10" xfId="8931" xr:uid="{695DBDB5-0833-4C28-BDB3-1E9CD653DDA6}"/>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E6506AE9-CE4B-42E7-9E10-5C19EA65FE36}"/>
    <cellStyle name="Normal 2 5 4 2 2 2 2 3" xfId="11492" xr:uid="{A459242C-5C40-4F69-B76D-4670B537FD17}"/>
    <cellStyle name="Normal 2 5 4 2 2 2 3" xfId="5123" xr:uid="{00000000-0005-0000-0000-00001B110000}"/>
    <cellStyle name="Normal 2 5 4 2 2 2 3 2" xfId="13565" xr:uid="{1D214C44-17E2-4694-B330-0522F0DFA8F1}"/>
    <cellStyle name="Normal 2 5 4 2 2 2 4" xfId="9347" xr:uid="{C63A9F1D-B6A8-4A1C-93C8-18CB0E94F994}"/>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5CAE47A8-790B-4DE5-A7AA-2A68B3EABFE5}"/>
    <cellStyle name="Normal 2 5 4 2 2 3 2 3" xfId="11905" xr:uid="{94A9A5A2-E46A-4AB7-AF69-B0B62AEFE110}"/>
    <cellStyle name="Normal 2 5 4 2 2 3 3" xfId="5536" xr:uid="{00000000-0005-0000-0000-00001F110000}"/>
    <cellStyle name="Normal 2 5 4 2 2 3 3 2" xfId="13978" xr:uid="{E2F394E0-A4EA-470C-BB95-DC21107C2361}"/>
    <cellStyle name="Normal 2 5 4 2 2 3 4" xfId="9760" xr:uid="{F17FF30C-7E53-464D-B58A-3B86F2AA1116}"/>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FBF558FC-C620-43A3-BFB7-3752C2683C2D}"/>
    <cellStyle name="Normal 2 5 4 2 2 4 2 3" xfId="12318" xr:uid="{04AAE4BA-4A86-475E-AE55-B8FF6C73F40D}"/>
    <cellStyle name="Normal 2 5 4 2 2 4 3" xfId="5949" xr:uid="{00000000-0005-0000-0000-000023110000}"/>
    <cellStyle name="Normal 2 5 4 2 2 4 3 2" xfId="14391" xr:uid="{01649296-7709-461D-9D79-7092EEF47756}"/>
    <cellStyle name="Normal 2 5 4 2 2 4 4" xfId="10173" xr:uid="{0ADA1163-8F63-41AA-BA0C-9CF38E013235}"/>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9513819D-A894-4A9A-92C5-95C68E93AC84}"/>
    <cellStyle name="Normal 2 5 4 2 2 5 2 3" xfId="12731" xr:uid="{CE4C1F29-037B-4429-845D-DC8D75A54E6C}"/>
    <cellStyle name="Normal 2 5 4 2 2 5 3" xfId="6362" xr:uid="{00000000-0005-0000-0000-000027110000}"/>
    <cellStyle name="Normal 2 5 4 2 2 5 3 2" xfId="14804" xr:uid="{ABF835F8-5547-4709-9166-52655287AA00}"/>
    <cellStyle name="Normal 2 5 4 2 2 5 4" xfId="10586" xr:uid="{E121C97F-83E4-4A34-9F6B-7E287F6B1B89}"/>
    <cellStyle name="Normal 2 5 4 2 2 6" xfId="2491" xr:uid="{00000000-0005-0000-0000-000028110000}"/>
    <cellStyle name="Normal 2 5 4 2 2 6 2" xfId="6775" xr:uid="{00000000-0005-0000-0000-000029110000}"/>
    <cellStyle name="Normal 2 5 4 2 2 6 2 2" xfId="15217" xr:uid="{84F0D762-E346-47AF-BD75-6BBFF5D9769C}"/>
    <cellStyle name="Normal 2 5 4 2 2 6 3" xfId="10999" xr:uid="{B0046D76-298E-4C5B-A358-0DA6629D2388}"/>
    <cellStyle name="Normal 2 5 4 2 2 7" xfId="4709" xr:uid="{00000000-0005-0000-0000-00002A110000}"/>
    <cellStyle name="Normal 2 5 4 2 2 7 2" xfId="13151" xr:uid="{75436884-87C4-4791-BA2E-60E12B39B89D}"/>
    <cellStyle name="Normal 2 5 4 2 2 8" xfId="8933" xr:uid="{67D4DA45-5CF4-4FF0-93D9-F8F7EC2B7C0A}"/>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20EFEC14-FB92-4668-A6E1-52D127E7E8C9}"/>
    <cellStyle name="Normal 2 5 4 2 3 2 3" xfId="11491" xr:uid="{C1A10EDC-EC8F-4B28-A0B2-1CCACBB87A08}"/>
    <cellStyle name="Normal 2 5 4 2 3 3" xfId="5122" xr:uid="{00000000-0005-0000-0000-00002E110000}"/>
    <cellStyle name="Normal 2 5 4 2 3 3 2" xfId="13564" xr:uid="{42FA397A-627A-44B7-A1FA-82096EF57754}"/>
    <cellStyle name="Normal 2 5 4 2 3 4" xfId="9346" xr:uid="{4BA4A961-A5EC-4C85-B9EC-359EB1D7E7D3}"/>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04A355AB-6BB0-4B83-9E71-21B0E60751B9}"/>
    <cellStyle name="Normal 2 5 4 2 4 2 3" xfId="11904" xr:uid="{773AA54C-D4B6-41DE-9320-4BEC707499DF}"/>
    <cellStyle name="Normal 2 5 4 2 4 3" xfId="5535" xr:uid="{00000000-0005-0000-0000-000032110000}"/>
    <cellStyle name="Normal 2 5 4 2 4 3 2" xfId="13977" xr:uid="{5AEC6156-2A34-41BC-B385-2AB1D7042E20}"/>
    <cellStyle name="Normal 2 5 4 2 4 4" xfId="9759" xr:uid="{18768951-02EC-435E-AE78-85EE22E1E61F}"/>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19E71B26-6592-4302-8F6E-F82A1EA45D01}"/>
    <cellStyle name="Normal 2 5 4 2 5 2 3" xfId="12317" xr:uid="{E239E84C-417C-48DD-B899-ECC9F59984C8}"/>
    <cellStyle name="Normal 2 5 4 2 5 3" xfId="5948" xr:uid="{00000000-0005-0000-0000-000036110000}"/>
    <cellStyle name="Normal 2 5 4 2 5 3 2" xfId="14390" xr:uid="{4CD3F71F-A6D2-40A5-B43D-34CE5337D168}"/>
    <cellStyle name="Normal 2 5 4 2 5 4" xfId="10172" xr:uid="{0FE560F4-4F1A-40A0-9011-69E152B10C09}"/>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B1C70788-8844-4A2D-9AA2-A828DFE83712}"/>
    <cellStyle name="Normal 2 5 4 2 6 2 3" xfId="12730" xr:uid="{3DEE8952-D2DB-4F64-A124-27F21DDFF772}"/>
    <cellStyle name="Normal 2 5 4 2 6 3" xfId="6361" xr:uid="{00000000-0005-0000-0000-00003A110000}"/>
    <cellStyle name="Normal 2 5 4 2 6 3 2" xfId="14803" xr:uid="{300834F5-C88C-4A92-9822-27DFA63973E2}"/>
    <cellStyle name="Normal 2 5 4 2 6 4" xfId="10585" xr:uid="{12C01F9D-66CF-4C8E-ABC3-ABE593D010C9}"/>
    <cellStyle name="Normal 2 5 4 2 7" xfId="2490" xr:uid="{00000000-0005-0000-0000-00003B110000}"/>
    <cellStyle name="Normal 2 5 4 2 7 2" xfId="6774" xr:uid="{00000000-0005-0000-0000-00003C110000}"/>
    <cellStyle name="Normal 2 5 4 2 7 2 2" xfId="15216" xr:uid="{F1ACB13A-6105-4AD2-9E98-E1698028AED6}"/>
    <cellStyle name="Normal 2 5 4 2 7 3" xfId="10998" xr:uid="{7919CD07-AFE1-498E-8519-ADB3C23A5FC4}"/>
    <cellStyle name="Normal 2 5 4 2 8" xfId="4708" xr:uid="{00000000-0005-0000-0000-00003D110000}"/>
    <cellStyle name="Normal 2 5 4 2 8 2" xfId="13150" xr:uid="{522E7232-6660-4FBA-880F-864A1D6B34F1}"/>
    <cellStyle name="Normal 2 5 4 2 9" xfId="8932" xr:uid="{2DCAC981-E4A4-48CD-9F79-1D03972A60C5}"/>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7441F7EA-C56D-4CC3-8E25-86C13C2C8FA1}"/>
    <cellStyle name="Normal 2 5 4 3 2 2 3" xfId="11493" xr:uid="{D8B6BB7F-6336-4EF9-9D59-12CC94527F47}"/>
    <cellStyle name="Normal 2 5 4 3 2 3" xfId="5124" xr:uid="{00000000-0005-0000-0000-000042110000}"/>
    <cellStyle name="Normal 2 5 4 3 2 3 2" xfId="13566" xr:uid="{F7EC8461-126E-4CC4-B796-34A95DF821E3}"/>
    <cellStyle name="Normal 2 5 4 3 2 4" xfId="9348" xr:uid="{8F31033D-4C74-4641-BAC4-67094A9BDC98}"/>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1763797D-676F-4504-9455-DF1A24FEEA41}"/>
    <cellStyle name="Normal 2 5 4 3 3 2 3" xfId="11906" xr:uid="{8EF20C58-109D-4B96-9380-2182BFBBB78A}"/>
    <cellStyle name="Normal 2 5 4 3 3 3" xfId="5537" xr:uid="{00000000-0005-0000-0000-000046110000}"/>
    <cellStyle name="Normal 2 5 4 3 3 3 2" xfId="13979" xr:uid="{E58CFB62-62FD-4C0A-9A62-F30FAD01C2B5}"/>
    <cellStyle name="Normal 2 5 4 3 3 4" xfId="9761" xr:uid="{AC821C18-10D0-4E01-9B3A-EB54F37D3348}"/>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98E2C7D4-44EC-4323-97A9-C558B7EA78E9}"/>
    <cellStyle name="Normal 2 5 4 3 4 2 3" xfId="12319" xr:uid="{AEEE8B72-E4DD-40EA-BDF1-520E9BF27880}"/>
    <cellStyle name="Normal 2 5 4 3 4 3" xfId="5950" xr:uid="{00000000-0005-0000-0000-00004A110000}"/>
    <cellStyle name="Normal 2 5 4 3 4 3 2" xfId="14392" xr:uid="{0D0FA203-F9E9-4977-B8AA-AC52712BFFC9}"/>
    <cellStyle name="Normal 2 5 4 3 4 4" xfId="10174" xr:uid="{6DD2A980-4326-429C-ACB6-996891AF7ABF}"/>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B56E55ED-0B47-4464-9C06-97DD892B0400}"/>
    <cellStyle name="Normal 2 5 4 3 5 2 3" xfId="12732" xr:uid="{B741C965-3235-420C-AEC5-AE9DED276D11}"/>
    <cellStyle name="Normal 2 5 4 3 5 3" xfId="6363" xr:uid="{00000000-0005-0000-0000-00004E110000}"/>
    <cellStyle name="Normal 2 5 4 3 5 3 2" xfId="14805" xr:uid="{46D67523-314C-4E10-84A7-28E1F92E5A8A}"/>
    <cellStyle name="Normal 2 5 4 3 5 4" xfId="10587" xr:uid="{3B2E335A-9D0D-4718-BFA0-BE0D47398619}"/>
    <cellStyle name="Normal 2 5 4 3 6" xfId="2492" xr:uid="{00000000-0005-0000-0000-00004F110000}"/>
    <cellStyle name="Normal 2 5 4 3 6 2" xfId="6776" xr:uid="{00000000-0005-0000-0000-000050110000}"/>
    <cellStyle name="Normal 2 5 4 3 6 2 2" xfId="15218" xr:uid="{D3946CCB-A83B-4878-9113-7C7A20F1A6AE}"/>
    <cellStyle name="Normal 2 5 4 3 6 3" xfId="11000" xr:uid="{18184E05-195D-40C2-A4FF-A3655543913E}"/>
    <cellStyle name="Normal 2 5 4 3 7" xfId="4710" xr:uid="{00000000-0005-0000-0000-000051110000}"/>
    <cellStyle name="Normal 2 5 4 3 7 2" xfId="13152" xr:uid="{C293AA9E-407C-4A99-B184-A995B3D29AB7}"/>
    <cellStyle name="Normal 2 5 4 3 8" xfId="8934" xr:uid="{E937B02F-359A-40CC-9C1A-ACAD16558F10}"/>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B9FF39A4-E09C-4730-8AEA-C674F8C43612}"/>
    <cellStyle name="Normal 2 5 4 4 2 3" xfId="11490" xr:uid="{5B6A3D10-E60D-4FDD-B36F-75CEA0ECE2F7}"/>
    <cellStyle name="Normal 2 5 4 4 3" xfId="5121" xr:uid="{00000000-0005-0000-0000-000055110000}"/>
    <cellStyle name="Normal 2 5 4 4 3 2" xfId="13563" xr:uid="{7E40A0BC-A091-4B15-A107-79540104B3D2}"/>
    <cellStyle name="Normal 2 5 4 4 4" xfId="9345" xr:uid="{50019BF7-F63E-4F29-A6A4-AB693D0D6EE3}"/>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B82FBA98-2E77-4CAA-B72F-1935C033490B}"/>
    <cellStyle name="Normal 2 5 4 5 2 3" xfId="11903" xr:uid="{84C432CB-9AB3-4DA8-BB76-2D31B002261A}"/>
    <cellStyle name="Normal 2 5 4 5 3" xfId="5534" xr:uid="{00000000-0005-0000-0000-000059110000}"/>
    <cellStyle name="Normal 2 5 4 5 3 2" xfId="13976" xr:uid="{3C42A7CB-8293-45C8-9374-15F454BE3831}"/>
    <cellStyle name="Normal 2 5 4 5 4" xfId="9758" xr:uid="{83B1305E-788D-43B8-A124-918EA87904C3}"/>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749C7FD3-6DF9-4E94-A5BA-BEEF066D142A}"/>
    <cellStyle name="Normal 2 5 4 6 2 3" xfId="12316" xr:uid="{EC45DE95-B7CF-4B27-B37C-8BFA3EB3D1A9}"/>
    <cellStyle name="Normal 2 5 4 6 3" xfId="5947" xr:uid="{00000000-0005-0000-0000-00005D110000}"/>
    <cellStyle name="Normal 2 5 4 6 3 2" xfId="14389" xr:uid="{6857FA5A-C2D6-4811-805A-8452F59B2B8C}"/>
    <cellStyle name="Normal 2 5 4 6 4" xfId="10171" xr:uid="{7409B653-42AA-444C-B334-17ACD9D40C78}"/>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A9A3B385-57A3-4082-82D9-995760165819}"/>
    <cellStyle name="Normal 2 5 4 7 2 3" xfId="12729" xr:uid="{2ACCD005-6A27-4919-BD0F-D36A010353E4}"/>
    <cellStyle name="Normal 2 5 4 7 3" xfId="6360" xr:uid="{00000000-0005-0000-0000-000061110000}"/>
    <cellStyle name="Normal 2 5 4 7 3 2" xfId="14802" xr:uid="{2DC14AE8-0AC1-4CCC-8743-78C0C0097800}"/>
    <cellStyle name="Normal 2 5 4 7 4" xfId="10584" xr:uid="{1F6B03A0-7AD1-430A-B198-049B498DAEAF}"/>
    <cellStyle name="Normal 2 5 4 8" xfId="2489" xr:uid="{00000000-0005-0000-0000-000062110000}"/>
    <cellStyle name="Normal 2 5 4 8 2" xfId="6773" xr:uid="{00000000-0005-0000-0000-000063110000}"/>
    <cellStyle name="Normal 2 5 4 8 2 2" xfId="15215" xr:uid="{0A323E3A-E563-4D07-BB56-E28CE1AE14FC}"/>
    <cellStyle name="Normal 2 5 4 8 3" xfId="10997" xr:uid="{E79CB88F-B1DF-43DF-9812-B7608541261D}"/>
    <cellStyle name="Normal 2 5 4 9" xfId="4707" xr:uid="{00000000-0005-0000-0000-000064110000}"/>
    <cellStyle name="Normal 2 5 4 9 2" xfId="13149" xr:uid="{87E42893-FE91-4DFE-BD37-BFEC0CC61B3C}"/>
    <cellStyle name="Normal 2 5 5" xfId="803" xr:uid="{00000000-0005-0000-0000-000065110000}"/>
    <cellStyle name="Normal 2 5 5 2" xfId="3042" xr:uid="{00000000-0005-0000-0000-000066110000}"/>
    <cellStyle name="Normal 2 5 5 2 2" xfId="7265" xr:uid="{00000000-0005-0000-0000-000067110000}"/>
    <cellStyle name="Normal 2 5 5 2 2 2" xfId="15707" xr:uid="{6DBA0639-6798-4EAC-B36F-33F6C059763B}"/>
    <cellStyle name="Normal 2 5 5 2 3" xfId="11489" xr:uid="{ECF9D40E-6755-42E5-9467-F548E9C421F0}"/>
    <cellStyle name="Normal 2 5 5 3" xfId="5120" xr:uid="{00000000-0005-0000-0000-000068110000}"/>
    <cellStyle name="Normal 2 5 5 3 2" xfId="13562" xr:uid="{DBD795E0-623C-4AFE-8210-6BF43580CE42}"/>
    <cellStyle name="Normal 2 5 5 4" xfId="9344" xr:uid="{544E0A26-5E1E-495F-AE86-D656F16C3012}"/>
    <cellStyle name="Normal 2 5 6" xfId="1225" xr:uid="{00000000-0005-0000-0000-000069110000}"/>
    <cellStyle name="Normal 2 5 6 2" xfId="3455" xr:uid="{00000000-0005-0000-0000-00006A110000}"/>
    <cellStyle name="Normal 2 5 6 2 2" xfId="7678" xr:uid="{00000000-0005-0000-0000-00006B110000}"/>
    <cellStyle name="Normal 2 5 6 2 2 2" xfId="16120" xr:uid="{C255DAB6-8738-4857-B92E-0A153D1425F2}"/>
    <cellStyle name="Normal 2 5 6 2 3" xfId="11902" xr:uid="{B77AFCC5-1FA4-4991-93D0-013674B10EA6}"/>
    <cellStyle name="Normal 2 5 6 3" xfId="5533" xr:uid="{00000000-0005-0000-0000-00006C110000}"/>
    <cellStyle name="Normal 2 5 6 3 2" xfId="13975" xr:uid="{F286CB36-B90D-424C-B415-D520EFB23DDA}"/>
    <cellStyle name="Normal 2 5 6 4" xfId="9757" xr:uid="{81E92C1C-DC1A-4EB8-A967-CC486185AA67}"/>
    <cellStyle name="Normal 2 5 7" xfId="1638" xr:uid="{00000000-0005-0000-0000-00006D110000}"/>
    <cellStyle name="Normal 2 5 7 2" xfId="3868" xr:uid="{00000000-0005-0000-0000-00006E110000}"/>
    <cellStyle name="Normal 2 5 7 2 2" xfId="8091" xr:uid="{00000000-0005-0000-0000-00006F110000}"/>
    <cellStyle name="Normal 2 5 7 2 2 2" xfId="16533" xr:uid="{B30C53FD-DB2F-4A50-9DE0-CCAD13DBF593}"/>
    <cellStyle name="Normal 2 5 7 2 3" xfId="12315" xr:uid="{EA3971CE-27E1-4285-BEEA-E5866CC14439}"/>
    <cellStyle name="Normal 2 5 7 3" xfId="5946" xr:uid="{00000000-0005-0000-0000-000070110000}"/>
    <cellStyle name="Normal 2 5 7 3 2" xfId="14388" xr:uid="{6A261A6F-6B28-4B5D-9F88-3771AD25A108}"/>
    <cellStyle name="Normal 2 5 7 4" xfId="10170" xr:uid="{64FAE1E4-C6D7-4721-A123-CC012C525058}"/>
    <cellStyle name="Normal 2 5 8" xfId="2052" xr:uid="{00000000-0005-0000-0000-000071110000}"/>
    <cellStyle name="Normal 2 5 8 2" xfId="4281" xr:uid="{00000000-0005-0000-0000-000072110000}"/>
    <cellStyle name="Normal 2 5 8 2 2" xfId="8504" xr:uid="{00000000-0005-0000-0000-000073110000}"/>
    <cellStyle name="Normal 2 5 8 2 2 2" xfId="16946" xr:uid="{8CFB2305-104E-42E3-9720-12DBD6C7EB8D}"/>
    <cellStyle name="Normal 2 5 8 2 3" xfId="12728" xr:uid="{FF5F603C-3887-4B6D-9D25-1F26707CA4BB}"/>
    <cellStyle name="Normal 2 5 8 3" xfId="6359" xr:uid="{00000000-0005-0000-0000-000074110000}"/>
    <cellStyle name="Normal 2 5 8 3 2" xfId="14801" xr:uid="{0EE58D4C-3EBF-44C3-8585-E6E7FC19BD7B}"/>
    <cellStyle name="Normal 2 5 8 4" xfId="10583" xr:uid="{3B15A4B6-C7FC-4ED4-AD77-36555618030D}"/>
    <cellStyle name="Normal 2 5 9" xfId="2488" xr:uid="{00000000-0005-0000-0000-000075110000}"/>
    <cellStyle name="Normal 2 5 9 2" xfId="6772" xr:uid="{00000000-0005-0000-0000-000076110000}"/>
    <cellStyle name="Normal 2 5 9 2 2" xfId="15214" xr:uid="{3B55C460-3933-4097-AC24-7D29D98A00AC}"/>
    <cellStyle name="Normal 2 5 9 3" xfId="10996" xr:uid="{70FEAA22-B59D-497E-88FC-17978B0DC0E4}"/>
    <cellStyle name="Normal 2 6" xfId="322" xr:uid="{00000000-0005-0000-0000-000077110000}"/>
    <cellStyle name="Normal 2 7" xfId="769" xr:uid="{00000000-0005-0000-0000-000078110000}"/>
    <cellStyle name="Normal 2 8" xfId="4495" xr:uid="{00000000-0005-0000-0000-000079110000}"/>
    <cellStyle name="Normal 2 8 2" xfId="12940" xr:uid="{8319098F-804B-4F73-8E84-379881F18BBD}"/>
    <cellStyle name="Normal 3" xfId="323" xr:uid="{00000000-0005-0000-0000-00007A110000}"/>
    <cellStyle name="Normal 3 2" xfId="324" xr:uid="{00000000-0005-0000-0000-00007B110000}"/>
    <cellStyle name="Normal 3 2 10" xfId="8935" xr:uid="{CEC6A564-ED7F-4304-8574-6446EEC5A172}"/>
    <cellStyle name="Normal 3 2 2" xfId="325" xr:uid="{00000000-0005-0000-0000-00007C110000}"/>
    <cellStyle name="Normal 3 2 2 2" xfId="810" xr:uid="{00000000-0005-0000-0000-00007D110000}"/>
    <cellStyle name="Normal 3 2 3" xfId="326" xr:uid="{00000000-0005-0000-0000-00007E110000}"/>
    <cellStyle name="Normal 3 2 3 10" xfId="8936" xr:uid="{947F0AFE-217C-499D-90E4-B90648EF0FE1}"/>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A8416CF1-8FFA-4CA7-952A-96CFF845AF10}"/>
    <cellStyle name="Normal 3 2 3 2 2 2 2 3" xfId="11497" xr:uid="{5DCD09DB-18E9-42D1-B136-71545FF64E70}"/>
    <cellStyle name="Normal 3 2 3 2 2 2 3" xfId="5128" xr:uid="{00000000-0005-0000-0000-000084110000}"/>
    <cellStyle name="Normal 3 2 3 2 2 2 3 2" xfId="13570" xr:uid="{53DE50D9-BC61-441B-9343-2A3DE157310B}"/>
    <cellStyle name="Normal 3 2 3 2 2 2 4" xfId="9352" xr:uid="{2924F0BC-CCE2-40FF-B406-1A077A1BD3B5}"/>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7CE8225E-393B-48FB-9348-1528A46A3072}"/>
    <cellStyle name="Normal 3 2 3 2 2 3 2 3" xfId="11910" xr:uid="{E73A9CBB-1C4F-4306-8081-52CA8FCBF4B0}"/>
    <cellStyle name="Normal 3 2 3 2 2 3 3" xfId="5541" xr:uid="{00000000-0005-0000-0000-000088110000}"/>
    <cellStyle name="Normal 3 2 3 2 2 3 3 2" xfId="13983" xr:uid="{54C19A24-D434-4FB8-AFC6-9A6A0BE6039E}"/>
    <cellStyle name="Normal 3 2 3 2 2 3 4" xfId="9765" xr:uid="{5776B814-09E4-48E9-A0C4-8B2D31A27DF6}"/>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7A612FBD-2F00-4626-B704-FD1007CABC0D}"/>
    <cellStyle name="Normal 3 2 3 2 2 4 2 3" xfId="12323" xr:uid="{597ABEE4-053D-458D-BC94-8C79F3175C13}"/>
    <cellStyle name="Normal 3 2 3 2 2 4 3" xfId="5954" xr:uid="{00000000-0005-0000-0000-00008C110000}"/>
    <cellStyle name="Normal 3 2 3 2 2 4 3 2" xfId="14396" xr:uid="{23C20748-6D15-46F8-B191-94A3F2F4C533}"/>
    <cellStyle name="Normal 3 2 3 2 2 4 4" xfId="10178" xr:uid="{F22BB122-5B0C-4DDF-8560-8E6C5FBEFC44}"/>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82C2745D-9BDB-4FF1-AEF9-13B3B73535C5}"/>
    <cellStyle name="Normal 3 2 3 2 2 5 2 3" xfId="12736" xr:uid="{45C6B240-D00F-4423-84B0-AB62403964A7}"/>
    <cellStyle name="Normal 3 2 3 2 2 5 3" xfId="6367" xr:uid="{00000000-0005-0000-0000-000090110000}"/>
    <cellStyle name="Normal 3 2 3 2 2 5 3 2" xfId="14809" xr:uid="{4F63DB88-F2E1-42BF-9C4F-3288987528A3}"/>
    <cellStyle name="Normal 3 2 3 2 2 5 4" xfId="10591" xr:uid="{12E699AC-8DAC-4FE8-83AD-38E17F8A5FC8}"/>
    <cellStyle name="Normal 3 2 3 2 2 6" xfId="2496" xr:uid="{00000000-0005-0000-0000-000091110000}"/>
    <cellStyle name="Normal 3 2 3 2 2 6 2" xfId="6780" xr:uid="{00000000-0005-0000-0000-000092110000}"/>
    <cellStyle name="Normal 3 2 3 2 2 6 2 2" xfId="15222" xr:uid="{0317EC57-65B9-4F66-8020-6C55430124D2}"/>
    <cellStyle name="Normal 3 2 3 2 2 6 3" xfId="11004" xr:uid="{700C5AE3-CC60-4B01-A8CA-F4EBA0498852}"/>
    <cellStyle name="Normal 3 2 3 2 2 7" xfId="4714" xr:uid="{00000000-0005-0000-0000-000093110000}"/>
    <cellStyle name="Normal 3 2 3 2 2 7 2" xfId="13156" xr:uid="{C915F4FF-FA31-4127-B07B-FBCA8ECDC4CB}"/>
    <cellStyle name="Normal 3 2 3 2 2 8" xfId="8938" xr:uid="{493018D5-3B36-4318-A3B7-CF9FFC6C0AD8}"/>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29C8A1C6-7101-464C-8D00-CAE750C7810D}"/>
    <cellStyle name="Normal 3 2 3 2 3 2 3" xfId="11496" xr:uid="{9441C6CC-C5C4-4C0C-BC55-6E83D283DD4C}"/>
    <cellStyle name="Normal 3 2 3 2 3 3" xfId="5127" xr:uid="{00000000-0005-0000-0000-000097110000}"/>
    <cellStyle name="Normal 3 2 3 2 3 3 2" xfId="13569" xr:uid="{71832B1B-7B37-4CA4-8226-6751E4E216C1}"/>
    <cellStyle name="Normal 3 2 3 2 3 4" xfId="9351" xr:uid="{A9C66025-75D8-479A-9F09-63DDD2B99C34}"/>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CB51184C-7FA9-4142-AF5C-6A816852EC49}"/>
    <cellStyle name="Normal 3 2 3 2 4 2 3" xfId="11909" xr:uid="{62D9B636-8462-4C01-ABB5-007018B87754}"/>
    <cellStyle name="Normal 3 2 3 2 4 3" xfId="5540" xr:uid="{00000000-0005-0000-0000-00009B110000}"/>
    <cellStyle name="Normal 3 2 3 2 4 3 2" xfId="13982" xr:uid="{A425A1DC-D2C8-4AB3-A089-515E4EE09F18}"/>
    <cellStyle name="Normal 3 2 3 2 4 4" xfId="9764" xr:uid="{9829CA1D-53D1-4CF9-B767-2E350505E544}"/>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A05819E5-B31E-4BF1-85B7-7B30C2D31EB3}"/>
    <cellStyle name="Normal 3 2 3 2 5 2 3" xfId="12322" xr:uid="{A93B7974-04B9-4A08-806D-416D9C5CA95E}"/>
    <cellStyle name="Normal 3 2 3 2 5 3" xfId="5953" xr:uid="{00000000-0005-0000-0000-00009F110000}"/>
    <cellStyle name="Normal 3 2 3 2 5 3 2" xfId="14395" xr:uid="{7F5ABDA2-82E2-4391-933D-C567561E1B7E}"/>
    <cellStyle name="Normal 3 2 3 2 5 4" xfId="10177" xr:uid="{8F66CB9B-A450-48F0-835E-D5F0D72D04DE}"/>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8508990E-5002-43D1-9C91-EA56E9CFE737}"/>
    <cellStyle name="Normal 3 2 3 2 6 2 3" xfId="12735" xr:uid="{FBF8C96E-47A1-4586-B57E-B3A083C89851}"/>
    <cellStyle name="Normal 3 2 3 2 6 3" xfId="6366" xr:uid="{00000000-0005-0000-0000-0000A3110000}"/>
    <cellStyle name="Normal 3 2 3 2 6 3 2" xfId="14808" xr:uid="{345BCE2D-5FA2-4ABB-A921-0671E2DEFFDA}"/>
    <cellStyle name="Normal 3 2 3 2 6 4" xfId="10590" xr:uid="{F89EBFF2-58C8-41B6-AD3F-058974A0BF3D}"/>
    <cellStyle name="Normal 3 2 3 2 7" xfId="2495" xr:uid="{00000000-0005-0000-0000-0000A4110000}"/>
    <cellStyle name="Normal 3 2 3 2 7 2" xfId="6779" xr:uid="{00000000-0005-0000-0000-0000A5110000}"/>
    <cellStyle name="Normal 3 2 3 2 7 2 2" xfId="15221" xr:uid="{4A8646EA-93E5-4AF3-9581-12C65CEFF438}"/>
    <cellStyle name="Normal 3 2 3 2 7 3" xfId="11003" xr:uid="{5E10F036-0EF6-4B61-A570-54D7C1768386}"/>
    <cellStyle name="Normal 3 2 3 2 8" xfId="4713" xr:uid="{00000000-0005-0000-0000-0000A6110000}"/>
    <cellStyle name="Normal 3 2 3 2 8 2" xfId="13155" xr:uid="{4778E95E-BD75-48F9-ACFC-FDB6DBE487DE}"/>
    <cellStyle name="Normal 3 2 3 2 9" xfId="8937" xr:uid="{06AAF7F2-F31B-4CF0-A8D9-2860F955B327}"/>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69C7B3E6-0177-4C14-9999-46F6DA715512}"/>
    <cellStyle name="Normal 3 2 3 3 2 2 3" xfId="11498" xr:uid="{F76A2E99-A5D6-42D6-AE1F-3E87F61216EE}"/>
    <cellStyle name="Normal 3 2 3 3 2 3" xfId="5129" xr:uid="{00000000-0005-0000-0000-0000AB110000}"/>
    <cellStyle name="Normal 3 2 3 3 2 3 2" xfId="13571" xr:uid="{89F2C2F7-E454-4449-8689-DC344A6F4618}"/>
    <cellStyle name="Normal 3 2 3 3 2 4" xfId="9353" xr:uid="{68D884D8-F177-48FC-9CE5-2402C47F9601}"/>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82327093-D5C5-4FE9-B415-BB685693A3DE}"/>
    <cellStyle name="Normal 3 2 3 3 3 2 3" xfId="11911" xr:uid="{58514337-7A41-4417-9E13-36FD087648E6}"/>
    <cellStyle name="Normal 3 2 3 3 3 3" xfId="5542" xr:uid="{00000000-0005-0000-0000-0000AF110000}"/>
    <cellStyle name="Normal 3 2 3 3 3 3 2" xfId="13984" xr:uid="{9D77AFD4-139D-43B0-BE5A-C242151F6522}"/>
    <cellStyle name="Normal 3 2 3 3 3 4" xfId="9766" xr:uid="{7FEF1921-2722-472A-9B62-66783E6F681D}"/>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139292BF-A570-4710-9030-7B793E47772B}"/>
    <cellStyle name="Normal 3 2 3 3 4 2 3" xfId="12324" xr:uid="{8D8F931B-296B-4E22-A09D-45D14EAE724D}"/>
    <cellStyle name="Normal 3 2 3 3 4 3" xfId="5955" xr:uid="{00000000-0005-0000-0000-0000B3110000}"/>
    <cellStyle name="Normal 3 2 3 3 4 3 2" xfId="14397" xr:uid="{6FF2E065-2748-4678-BF66-5BF9E98D9E46}"/>
    <cellStyle name="Normal 3 2 3 3 4 4" xfId="10179" xr:uid="{84F4893B-34E8-4A5F-A600-E81A5DDEFE87}"/>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573DB93A-01EC-498F-A444-0D576456D574}"/>
    <cellStyle name="Normal 3 2 3 3 5 2 3" xfId="12737" xr:uid="{D124AB4C-8C79-4E6D-ADF3-BDC8FA1C2A5B}"/>
    <cellStyle name="Normal 3 2 3 3 5 3" xfId="6368" xr:uid="{00000000-0005-0000-0000-0000B7110000}"/>
    <cellStyle name="Normal 3 2 3 3 5 3 2" xfId="14810" xr:uid="{201D1493-CC0F-4884-8748-E9981D150CD3}"/>
    <cellStyle name="Normal 3 2 3 3 5 4" xfId="10592" xr:uid="{00C16FC4-7C16-43CA-A45D-E33034734E0E}"/>
    <cellStyle name="Normal 3 2 3 3 6" xfId="2497" xr:uid="{00000000-0005-0000-0000-0000B8110000}"/>
    <cellStyle name="Normal 3 2 3 3 6 2" xfId="6781" xr:uid="{00000000-0005-0000-0000-0000B9110000}"/>
    <cellStyle name="Normal 3 2 3 3 6 2 2" xfId="15223" xr:uid="{9542A023-52BD-48A5-A9F8-FA64343E0E4A}"/>
    <cellStyle name="Normal 3 2 3 3 6 3" xfId="11005" xr:uid="{D9CB9A5B-CAF7-4A83-8E29-0D19948C341C}"/>
    <cellStyle name="Normal 3 2 3 3 7" xfId="4715" xr:uid="{00000000-0005-0000-0000-0000BA110000}"/>
    <cellStyle name="Normal 3 2 3 3 7 2" xfId="13157" xr:uid="{74BE3FEC-E209-4FB4-9515-32B51B367826}"/>
    <cellStyle name="Normal 3 2 3 3 8" xfId="8939" xr:uid="{F018D098-DC2A-4A6E-A2C0-A1E85A61EEE8}"/>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CD3A6462-B4F9-4AEB-ACBE-A30B1ABD9F9D}"/>
    <cellStyle name="Normal 3 2 3 4 2 3" xfId="11495" xr:uid="{1D24605D-D516-4377-8795-2B2927BA04DB}"/>
    <cellStyle name="Normal 3 2 3 4 3" xfId="5126" xr:uid="{00000000-0005-0000-0000-0000BE110000}"/>
    <cellStyle name="Normal 3 2 3 4 3 2" xfId="13568" xr:uid="{3A0D5B7E-8A7E-485B-9DE7-4BF6F2FF288B}"/>
    <cellStyle name="Normal 3 2 3 4 4" xfId="9350" xr:uid="{01EFDC01-FA48-41A5-9DE9-F403E192FC38}"/>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B77B844A-179F-47F5-84AA-FBBA6594D5DD}"/>
    <cellStyle name="Normal 3 2 3 5 2 3" xfId="11908" xr:uid="{907FE067-FB2F-4EE1-A393-EA5D814889A7}"/>
    <cellStyle name="Normal 3 2 3 5 3" xfId="5539" xr:uid="{00000000-0005-0000-0000-0000C2110000}"/>
    <cellStyle name="Normal 3 2 3 5 3 2" xfId="13981" xr:uid="{7B412AC3-7C7A-4413-BA00-0E10964EFCBB}"/>
    <cellStyle name="Normal 3 2 3 5 4" xfId="9763" xr:uid="{AC747CE2-AE5A-459B-A7F7-9E7E9078AAD9}"/>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9529250F-558E-4B30-B2C9-35DE799E00D7}"/>
    <cellStyle name="Normal 3 2 3 6 2 3" xfId="12321" xr:uid="{C828BE66-587C-49D3-81BF-15EDF8A873A3}"/>
    <cellStyle name="Normal 3 2 3 6 3" xfId="5952" xr:uid="{00000000-0005-0000-0000-0000C6110000}"/>
    <cellStyle name="Normal 3 2 3 6 3 2" xfId="14394" xr:uid="{337B1AEF-AD66-4E92-9C57-A88E0E9A2EF8}"/>
    <cellStyle name="Normal 3 2 3 6 4" xfId="10176" xr:uid="{3614238A-B49D-488C-B0C2-BB8DA24FAB93}"/>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643C258E-52E5-465C-AB01-DB7F90B0997B}"/>
    <cellStyle name="Normal 3 2 3 7 2 3" xfId="12734" xr:uid="{48C288DD-81C4-4D8C-AA61-008CF600EAD7}"/>
    <cellStyle name="Normal 3 2 3 7 3" xfId="6365" xr:uid="{00000000-0005-0000-0000-0000CA110000}"/>
    <cellStyle name="Normal 3 2 3 7 3 2" xfId="14807" xr:uid="{175524A5-FDA2-4F79-A09B-BBCEE58E05FD}"/>
    <cellStyle name="Normal 3 2 3 7 4" xfId="10589" xr:uid="{8B688FEB-C437-4C95-B579-ACFD643AAB1B}"/>
    <cellStyle name="Normal 3 2 3 8" xfId="2494" xr:uid="{00000000-0005-0000-0000-0000CB110000}"/>
    <cellStyle name="Normal 3 2 3 8 2" xfId="6778" xr:uid="{00000000-0005-0000-0000-0000CC110000}"/>
    <cellStyle name="Normal 3 2 3 8 2 2" xfId="15220" xr:uid="{39E76A9A-D7D9-4E8E-B945-7C77A0F27D8D}"/>
    <cellStyle name="Normal 3 2 3 8 3" xfId="11002" xr:uid="{87DF0C10-C740-4B03-9882-D54E22D9D8CD}"/>
    <cellStyle name="Normal 3 2 3 9" xfId="4712" xr:uid="{00000000-0005-0000-0000-0000CD110000}"/>
    <cellStyle name="Normal 3 2 3 9 2" xfId="13154" xr:uid="{9CDACBF6-26B1-4BC8-B3A5-EE39E13D6481}"/>
    <cellStyle name="Normal 3 2 4" xfId="809" xr:uid="{00000000-0005-0000-0000-0000CE110000}"/>
    <cellStyle name="Normal 3 2 4 2" xfId="3047" xr:uid="{00000000-0005-0000-0000-0000CF110000}"/>
    <cellStyle name="Normal 3 2 4 2 2" xfId="7270" xr:uid="{00000000-0005-0000-0000-0000D0110000}"/>
    <cellStyle name="Normal 3 2 4 2 2 2" xfId="15712" xr:uid="{F0C5F11B-76F9-4540-B1CE-94924A608B4A}"/>
    <cellStyle name="Normal 3 2 4 2 3" xfId="11494" xr:uid="{BC817B50-9A2E-4C00-B13F-F803898DA628}"/>
    <cellStyle name="Normal 3 2 4 3" xfId="5125" xr:uid="{00000000-0005-0000-0000-0000D1110000}"/>
    <cellStyle name="Normal 3 2 4 3 2" xfId="13567" xr:uid="{8DCC777F-857C-4AD1-B18C-4F715EF014F3}"/>
    <cellStyle name="Normal 3 2 4 4" xfId="9349" xr:uid="{CBECD38E-90DC-4027-A7EC-04F903FCA282}"/>
    <cellStyle name="Normal 3 2 5" xfId="1230" xr:uid="{00000000-0005-0000-0000-0000D2110000}"/>
    <cellStyle name="Normal 3 2 5 2" xfId="3460" xr:uid="{00000000-0005-0000-0000-0000D3110000}"/>
    <cellStyle name="Normal 3 2 5 2 2" xfId="7683" xr:uid="{00000000-0005-0000-0000-0000D4110000}"/>
    <cellStyle name="Normal 3 2 5 2 2 2" xfId="16125" xr:uid="{A4D4DA4B-CDB3-46BA-ADFA-4E7A3E4006E1}"/>
    <cellStyle name="Normal 3 2 5 2 3" xfId="11907" xr:uid="{1EBC3105-13D2-4837-AC4A-427E458DDAE6}"/>
    <cellStyle name="Normal 3 2 5 3" xfId="5538" xr:uid="{00000000-0005-0000-0000-0000D5110000}"/>
    <cellStyle name="Normal 3 2 5 3 2" xfId="13980" xr:uid="{B4A75D42-CDCD-4426-ADF7-99C89865FB91}"/>
    <cellStyle name="Normal 3 2 5 4" xfId="9762" xr:uid="{55ED6CCA-F689-483D-849E-CC4C11A9A8F6}"/>
    <cellStyle name="Normal 3 2 6" xfId="1643" xr:uid="{00000000-0005-0000-0000-0000D6110000}"/>
    <cellStyle name="Normal 3 2 6 2" xfId="3873" xr:uid="{00000000-0005-0000-0000-0000D7110000}"/>
    <cellStyle name="Normal 3 2 6 2 2" xfId="8096" xr:uid="{00000000-0005-0000-0000-0000D8110000}"/>
    <cellStyle name="Normal 3 2 6 2 2 2" xfId="16538" xr:uid="{DC16EECB-B1FE-468C-BA13-3BD618F620FF}"/>
    <cellStyle name="Normal 3 2 6 2 3" xfId="12320" xr:uid="{2A8E094A-B074-4275-9DE2-5F11346023C2}"/>
    <cellStyle name="Normal 3 2 6 3" xfId="5951" xr:uid="{00000000-0005-0000-0000-0000D9110000}"/>
    <cellStyle name="Normal 3 2 6 3 2" xfId="14393" xr:uid="{2FDEAEB6-BD6F-4736-9170-FC19CA964BA6}"/>
    <cellStyle name="Normal 3 2 6 4" xfId="10175" xr:uid="{D9C669EF-0032-4666-A741-E8A68D01C94A}"/>
    <cellStyle name="Normal 3 2 7" xfId="2057" xr:uid="{00000000-0005-0000-0000-0000DA110000}"/>
    <cellStyle name="Normal 3 2 7 2" xfId="4286" xr:uid="{00000000-0005-0000-0000-0000DB110000}"/>
    <cellStyle name="Normal 3 2 7 2 2" xfId="8509" xr:uid="{00000000-0005-0000-0000-0000DC110000}"/>
    <cellStyle name="Normal 3 2 7 2 2 2" xfId="16951" xr:uid="{7754067A-0460-4C09-941F-A579CA433473}"/>
    <cellStyle name="Normal 3 2 7 2 3" xfId="12733" xr:uid="{F7C1E571-515B-44A0-A75B-60722ED1B474}"/>
    <cellStyle name="Normal 3 2 7 3" xfId="6364" xr:uid="{00000000-0005-0000-0000-0000DD110000}"/>
    <cellStyle name="Normal 3 2 7 3 2" xfId="14806" xr:uid="{3F7F6747-3BB7-4E9A-80F7-AB9C756A39E2}"/>
    <cellStyle name="Normal 3 2 7 4" xfId="10588" xr:uid="{DBC1DDAD-1F19-4B00-9C21-53E05147A252}"/>
    <cellStyle name="Normal 3 2 8" xfId="2493" xr:uid="{00000000-0005-0000-0000-0000DE110000}"/>
    <cellStyle name="Normal 3 2 8 2" xfId="6777" xr:uid="{00000000-0005-0000-0000-0000DF110000}"/>
    <cellStyle name="Normal 3 2 8 2 2" xfId="15219" xr:uid="{ACB8962E-7443-4851-B79A-31EB084D0CB7}"/>
    <cellStyle name="Normal 3 2 8 3" xfId="11001" xr:uid="{463AED7C-A6D7-4189-B974-9CD431D70B54}"/>
    <cellStyle name="Normal 3 2 9" xfId="4711" xr:uid="{00000000-0005-0000-0000-0000E0110000}"/>
    <cellStyle name="Normal 3 2 9 2" xfId="13153" xr:uid="{57304737-26F2-4145-80D0-790C0D1937B3}"/>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599A17CA-009C-4904-A992-886C53FD1105}"/>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43E3A2EF-6F94-4823-9DE0-A5E97E238C02}"/>
    <cellStyle name="Normal 4 2 2 10 2 3" xfId="12738" xr:uid="{88A99F5F-4A09-4DEE-B30D-B3299FAB3B81}"/>
    <cellStyle name="Normal 4 2 2 10 3" xfId="6369" xr:uid="{00000000-0005-0000-0000-0000ED110000}"/>
    <cellStyle name="Normal 4 2 2 10 3 2" xfId="14811" xr:uid="{C3586D35-E992-4330-BE72-4F58FAEDDA94}"/>
    <cellStyle name="Normal 4 2 2 10 4" xfId="10593" xr:uid="{6EACC930-B6FB-4771-8B8E-F5777871BA08}"/>
    <cellStyle name="Normal 4 2 2 11" xfId="2498" xr:uid="{00000000-0005-0000-0000-0000EE110000}"/>
    <cellStyle name="Normal 4 2 2 11 2" xfId="6782" xr:uid="{00000000-0005-0000-0000-0000EF110000}"/>
    <cellStyle name="Normal 4 2 2 11 2 2" xfId="15224" xr:uid="{872B70C6-311A-4AC1-98EE-7B340B6D52D7}"/>
    <cellStyle name="Normal 4 2 2 11 3" xfId="11006" xr:uid="{189A4BCD-73FD-46D7-88FD-2DEF4A8F2011}"/>
    <cellStyle name="Normal 4 2 2 12" xfId="4717" xr:uid="{00000000-0005-0000-0000-0000F0110000}"/>
    <cellStyle name="Normal 4 2 2 12 2" xfId="13159" xr:uid="{FF7894A0-2EEE-4E17-B16D-313F2FF62E29}"/>
    <cellStyle name="Normal 4 2 2 13" xfId="8941" xr:uid="{4C10B462-3A6F-4807-89AA-DB0502840770}"/>
    <cellStyle name="Normal 4 2 2 2" xfId="338" xr:uid="{00000000-0005-0000-0000-0000F1110000}"/>
    <cellStyle name="Normal 4 2 2 3" xfId="339" xr:uid="{00000000-0005-0000-0000-0000F2110000}"/>
    <cellStyle name="Normal 4 2 2 3 10" xfId="4718" xr:uid="{00000000-0005-0000-0000-0000F3110000}"/>
    <cellStyle name="Normal 4 2 2 3 10 2" xfId="13160" xr:uid="{5CC43A9D-277C-412B-A933-D705C4608027}"/>
    <cellStyle name="Normal 4 2 2 3 11" xfId="8942" xr:uid="{5C2A461C-A16F-455B-A8C7-1DC694D0CF9E}"/>
    <cellStyle name="Normal 4 2 2 3 2" xfId="340" xr:uid="{00000000-0005-0000-0000-0000F4110000}"/>
    <cellStyle name="Normal 4 2 2 3 2 10" xfId="8943" xr:uid="{80856A9A-27B8-44D5-8579-227DC0200351}"/>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76513222-1807-4935-8368-826EC05FF0B0}"/>
    <cellStyle name="Normal 4 2 2 3 2 2 2 2 2 3" xfId="11503" xr:uid="{10E231E9-CE4F-47DF-982F-36A4C596DF11}"/>
    <cellStyle name="Normal 4 2 2 3 2 2 2 2 3" xfId="5134" xr:uid="{00000000-0005-0000-0000-0000FA110000}"/>
    <cellStyle name="Normal 4 2 2 3 2 2 2 2 3 2" xfId="13576" xr:uid="{E0E439C7-051F-42B1-9218-777D3DB8CA8A}"/>
    <cellStyle name="Normal 4 2 2 3 2 2 2 2 4" xfId="9358" xr:uid="{7A2162C3-A03B-4469-B261-5093F6B2C426}"/>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6A905DBD-3482-442C-89D9-2A7348A2258B}"/>
    <cellStyle name="Normal 4 2 2 3 2 2 2 3 2 3" xfId="11916" xr:uid="{C74B5D7D-83CF-4365-98CD-B2E16B0A4CDB}"/>
    <cellStyle name="Normal 4 2 2 3 2 2 2 3 3" xfId="5547" xr:uid="{00000000-0005-0000-0000-0000FE110000}"/>
    <cellStyle name="Normal 4 2 2 3 2 2 2 3 3 2" xfId="13989" xr:uid="{50DB9BC6-EAA7-474F-9E50-1CBEC5733A82}"/>
    <cellStyle name="Normal 4 2 2 3 2 2 2 3 4" xfId="9771" xr:uid="{445DA682-BF37-4D4A-96FF-A476F8EBACDF}"/>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15687988-86A2-439C-9229-9293D870DC16}"/>
    <cellStyle name="Normal 4 2 2 3 2 2 2 4 2 3" xfId="12329" xr:uid="{F94372F1-89E1-4394-A252-D724CC756337}"/>
    <cellStyle name="Normal 4 2 2 3 2 2 2 4 3" xfId="5960" xr:uid="{00000000-0005-0000-0000-000002120000}"/>
    <cellStyle name="Normal 4 2 2 3 2 2 2 4 3 2" xfId="14402" xr:uid="{4FF7DA16-23E3-427B-B786-94EA5474EA5C}"/>
    <cellStyle name="Normal 4 2 2 3 2 2 2 4 4" xfId="10184" xr:uid="{7091A84D-5887-491A-89D9-8986ACA5EEFA}"/>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37F89ECF-397D-4018-BB28-9B4E257F8C3E}"/>
    <cellStyle name="Normal 4 2 2 3 2 2 2 5 2 3" xfId="12742" xr:uid="{CB3C570F-D52B-42CB-8C64-8F21FEB79F99}"/>
    <cellStyle name="Normal 4 2 2 3 2 2 2 5 3" xfId="6373" xr:uid="{00000000-0005-0000-0000-000006120000}"/>
    <cellStyle name="Normal 4 2 2 3 2 2 2 5 3 2" xfId="14815" xr:uid="{C107DED8-EF99-496C-93DC-F16F75C99861}"/>
    <cellStyle name="Normal 4 2 2 3 2 2 2 5 4" xfId="10597" xr:uid="{6F8B97FB-9AB4-4A53-9A56-EF93778724BA}"/>
    <cellStyle name="Normal 4 2 2 3 2 2 2 6" xfId="2502" xr:uid="{00000000-0005-0000-0000-000007120000}"/>
    <cellStyle name="Normal 4 2 2 3 2 2 2 6 2" xfId="6786" xr:uid="{00000000-0005-0000-0000-000008120000}"/>
    <cellStyle name="Normal 4 2 2 3 2 2 2 6 2 2" xfId="15228" xr:uid="{CB9026F5-5875-4F1A-86F5-A73FFDB0AFC0}"/>
    <cellStyle name="Normal 4 2 2 3 2 2 2 6 3" xfId="11010" xr:uid="{57677C5B-10B7-4C23-A022-BB739438D87B}"/>
    <cellStyle name="Normal 4 2 2 3 2 2 2 7" xfId="4721" xr:uid="{00000000-0005-0000-0000-000009120000}"/>
    <cellStyle name="Normal 4 2 2 3 2 2 2 7 2" xfId="13163" xr:uid="{4C48A06C-22FC-4EC9-8963-04E113087796}"/>
    <cellStyle name="Normal 4 2 2 3 2 2 2 8" xfId="8945" xr:uid="{63C14907-0E4D-43E2-8D3F-69D3FBF1C9F3}"/>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DC5A12AD-0AB9-44F5-A814-6260C9C056FB}"/>
    <cellStyle name="Normal 4 2 2 3 2 2 3 2 3" xfId="11502" xr:uid="{FBBC4112-B150-4E02-9E84-25F787A978C8}"/>
    <cellStyle name="Normal 4 2 2 3 2 2 3 3" xfId="5133" xr:uid="{00000000-0005-0000-0000-00000D120000}"/>
    <cellStyle name="Normal 4 2 2 3 2 2 3 3 2" xfId="13575" xr:uid="{48CC262F-D12C-4843-AFA2-02A69E159677}"/>
    <cellStyle name="Normal 4 2 2 3 2 2 3 4" xfId="9357" xr:uid="{9D2E6455-BBF8-4E24-9B17-D51C76106AD9}"/>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5909C0A9-A8E2-490A-B8D8-96116CCA6029}"/>
    <cellStyle name="Normal 4 2 2 3 2 2 4 2 3" xfId="11915" xr:uid="{59F27F29-BF3C-4066-83D0-4ABE135BB86C}"/>
    <cellStyle name="Normal 4 2 2 3 2 2 4 3" xfId="5546" xr:uid="{00000000-0005-0000-0000-000011120000}"/>
    <cellStyle name="Normal 4 2 2 3 2 2 4 3 2" xfId="13988" xr:uid="{395C86E5-B2CF-463A-AAD6-59817C3B0257}"/>
    <cellStyle name="Normal 4 2 2 3 2 2 4 4" xfId="9770" xr:uid="{57218E60-C4E7-496F-9826-3F14959847EC}"/>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13C32E03-BF0C-4D3C-B927-6E92DD3616DF}"/>
    <cellStyle name="Normal 4 2 2 3 2 2 5 2 3" xfId="12328" xr:uid="{63224A5B-2818-4A6D-88F2-415E1C165593}"/>
    <cellStyle name="Normal 4 2 2 3 2 2 5 3" xfId="5959" xr:uid="{00000000-0005-0000-0000-000015120000}"/>
    <cellStyle name="Normal 4 2 2 3 2 2 5 3 2" xfId="14401" xr:uid="{C1661404-42BA-428E-9FFE-7EB4E305774C}"/>
    <cellStyle name="Normal 4 2 2 3 2 2 5 4" xfId="10183" xr:uid="{A741C7CB-D46B-4154-B5D6-E5A438EC2D17}"/>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8EA12169-5635-4AD8-86FD-59D12F2153D4}"/>
    <cellStyle name="Normal 4 2 2 3 2 2 6 2 3" xfId="12741" xr:uid="{0D72FAF9-2EC7-436F-95D6-BC2E9F5E4C92}"/>
    <cellStyle name="Normal 4 2 2 3 2 2 6 3" xfId="6372" xr:uid="{00000000-0005-0000-0000-000019120000}"/>
    <cellStyle name="Normal 4 2 2 3 2 2 6 3 2" xfId="14814" xr:uid="{E029FAC8-6268-4F40-B4A2-E593B3BA71B0}"/>
    <cellStyle name="Normal 4 2 2 3 2 2 6 4" xfId="10596" xr:uid="{D743694B-812F-4E73-88FC-F10BD245B501}"/>
    <cellStyle name="Normal 4 2 2 3 2 2 7" xfId="2501" xr:uid="{00000000-0005-0000-0000-00001A120000}"/>
    <cellStyle name="Normal 4 2 2 3 2 2 7 2" xfId="6785" xr:uid="{00000000-0005-0000-0000-00001B120000}"/>
    <cellStyle name="Normal 4 2 2 3 2 2 7 2 2" xfId="15227" xr:uid="{1DE24B18-A4AF-48E2-AFC8-2DFB422815B8}"/>
    <cellStyle name="Normal 4 2 2 3 2 2 7 3" xfId="11009" xr:uid="{FEE0D2FB-5C4E-4F2B-A7AE-F2FEBE2F85D9}"/>
    <cellStyle name="Normal 4 2 2 3 2 2 8" xfId="4720" xr:uid="{00000000-0005-0000-0000-00001C120000}"/>
    <cellStyle name="Normal 4 2 2 3 2 2 8 2" xfId="13162" xr:uid="{ACF8BBCF-FAC7-46CC-9A62-B2333806B2A3}"/>
    <cellStyle name="Normal 4 2 2 3 2 2 9" xfId="8944" xr:uid="{DE85CB50-E0A3-455B-9CBC-CD09BD4E2585}"/>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2D282350-053A-4BC5-BD3B-5893CB37B736}"/>
    <cellStyle name="Normal 4 2 2 3 2 3 2 2 3" xfId="11504" xr:uid="{E876FD7C-C129-45ED-B849-E6C383CC3C3D}"/>
    <cellStyle name="Normal 4 2 2 3 2 3 2 3" xfId="5135" xr:uid="{00000000-0005-0000-0000-000021120000}"/>
    <cellStyle name="Normal 4 2 2 3 2 3 2 3 2" xfId="13577" xr:uid="{9A25144A-F003-49BE-BBCB-2004D19F2D06}"/>
    <cellStyle name="Normal 4 2 2 3 2 3 2 4" xfId="9359" xr:uid="{00379A1C-7E5A-40BE-894F-B5AAF861DC11}"/>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7B632986-44C6-4D95-B265-3EB879410E11}"/>
    <cellStyle name="Normal 4 2 2 3 2 3 3 2 3" xfId="11917" xr:uid="{B5DD3D6A-35B5-4A3A-B448-FBF4C1A774BF}"/>
    <cellStyle name="Normal 4 2 2 3 2 3 3 3" xfId="5548" xr:uid="{00000000-0005-0000-0000-000025120000}"/>
    <cellStyle name="Normal 4 2 2 3 2 3 3 3 2" xfId="13990" xr:uid="{F9AD0904-5852-4F49-89FA-0241AA455011}"/>
    <cellStyle name="Normal 4 2 2 3 2 3 3 4" xfId="9772" xr:uid="{3F11073A-4665-4C83-8D52-349C933DA6CD}"/>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2CF142C7-BBA4-4739-A8A1-6908333F7A13}"/>
    <cellStyle name="Normal 4 2 2 3 2 3 4 2 3" xfId="12330" xr:uid="{5AEB30A1-F64B-42B1-8E4D-B3ABCFACFD25}"/>
    <cellStyle name="Normal 4 2 2 3 2 3 4 3" xfId="5961" xr:uid="{00000000-0005-0000-0000-000029120000}"/>
    <cellStyle name="Normal 4 2 2 3 2 3 4 3 2" xfId="14403" xr:uid="{5B28A216-EDD8-4413-9448-E55EFD180CA1}"/>
    <cellStyle name="Normal 4 2 2 3 2 3 4 4" xfId="10185" xr:uid="{1A84B6F5-81A6-4D6B-8935-C564EE57A6CB}"/>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3CDC2904-B914-4993-A0AF-B268F731204F}"/>
    <cellStyle name="Normal 4 2 2 3 2 3 5 2 3" xfId="12743" xr:uid="{20FC3026-6095-480E-A6FC-630B64109357}"/>
    <cellStyle name="Normal 4 2 2 3 2 3 5 3" xfId="6374" xr:uid="{00000000-0005-0000-0000-00002D120000}"/>
    <cellStyle name="Normal 4 2 2 3 2 3 5 3 2" xfId="14816" xr:uid="{A30986BD-A602-4C0E-AA72-A5F74AAE4581}"/>
    <cellStyle name="Normal 4 2 2 3 2 3 5 4" xfId="10598" xr:uid="{C527C6F9-5D0E-411B-8F63-28D27B27216D}"/>
    <cellStyle name="Normal 4 2 2 3 2 3 6" xfId="2503" xr:uid="{00000000-0005-0000-0000-00002E120000}"/>
    <cellStyle name="Normal 4 2 2 3 2 3 6 2" xfId="6787" xr:uid="{00000000-0005-0000-0000-00002F120000}"/>
    <cellStyle name="Normal 4 2 2 3 2 3 6 2 2" xfId="15229" xr:uid="{D4CF0575-6388-4180-B055-EF1A8C83BCFA}"/>
    <cellStyle name="Normal 4 2 2 3 2 3 6 3" xfId="11011" xr:uid="{9BE0E047-26CC-4CB4-96EE-57CCC1547CB8}"/>
    <cellStyle name="Normal 4 2 2 3 2 3 7" xfId="4722" xr:uid="{00000000-0005-0000-0000-000030120000}"/>
    <cellStyle name="Normal 4 2 2 3 2 3 7 2" xfId="13164" xr:uid="{CBF3FA72-B622-4D03-A48C-238E2A3E64D4}"/>
    <cellStyle name="Normal 4 2 2 3 2 3 8" xfId="8946" xr:uid="{3DB08DD5-2CE1-4517-9834-AEC37EC00D0E}"/>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F8AEA246-9827-409B-9E8A-15BEC0CC3A7C}"/>
    <cellStyle name="Normal 4 2 2 3 2 4 2 3" xfId="11501" xr:uid="{B17AF561-C687-40A4-8651-E2B781C0E903}"/>
    <cellStyle name="Normal 4 2 2 3 2 4 3" xfId="5132" xr:uid="{00000000-0005-0000-0000-000034120000}"/>
    <cellStyle name="Normal 4 2 2 3 2 4 3 2" xfId="13574" xr:uid="{B3ED1F5B-F136-49B4-BDC2-B0CA929C4137}"/>
    <cellStyle name="Normal 4 2 2 3 2 4 4" xfId="9356" xr:uid="{A0873619-0E32-4500-8386-4D76F1C1E211}"/>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C0C42AF6-2EEA-45BE-8734-E65C75217E5B}"/>
    <cellStyle name="Normal 4 2 2 3 2 5 2 3" xfId="11914" xr:uid="{FA788A5C-2E41-4554-8E31-9BEE591CA493}"/>
    <cellStyle name="Normal 4 2 2 3 2 5 3" xfId="5545" xr:uid="{00000000-0005-0000-0000-000038120000}"/>
    <cellStyle name="Normal 4 2 2 3 2 5 3 2" xfId="13987" xr:uid="{969FD37D-FAEB-48CC-A340-1145D0242EDB}"/>
    <cellStyle name="Normal 4 2 2 3 2 5 4" xfId="9769" xr:uid="{E55BB706-1C42-4355-9BBD-26D2F320A804}"/>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C56C2D05-ACB3-484F-ADFD-1489F07EBE79}"/>
    <cellStyle name="Normal 4 2 2 3 2 6 2 3" xfId="12327" xr:uid="{ACE7337A-EA75-4535-B91A-5B6BC321D231}"/>
    <cellStyle name="Normal 4 2 2 3 2 6 3" xfId="5958" xr:uid="{00000000-0005-0000-0000-00003C120000}"/>
    <cellStyle name="Normal 4 2 2 3 2 6 3 2" xfId="14400" xr:uid="{FD654DBB-BD07-46E2-8E4E-330B0C207427}"/>
    <cellStyle name="Normal 4 2 2 3 2 6 4" xfId="10182" xr:uid="{FCD2FC4C-871F-4CE5-AF86-83555249E0A1}"/>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C7BA8DD9-BF26-4316-93A6-9B764CDE763C}"/>
    <cellStyle name="Normal 4 2 2 3 2 7 2 3" xfId="12740" xr:uid="{4D223D90-0CF3-4E7D-9788-483CEC33ED3F}"/>
    <cellStyle name="Normal 4 2 2 3 2 7 3" xfId="6371" xr:uid="{00000000-0005-0000-0000-000040120000}"/>
    <cellStyle name="Normal 4 2 2 3 2 7 3 2" xfId="14813" xr:uid="{1E371F11-4E24-4B40-A9C9-89F87A60F42E}"/>
    <cellStyle name="Normal 4 2 2 3 2 7 4" xfId="10595" xr:uid="{D86457B5-0FAA-4988-96AF-5E516EA53573}"/>
    <cellStyle name="Normal 4 2 2 3 2 8" xfId="2500" xr:uid="{00000000-0005-0000-0000-000041120000}"/>
    <cellStyle name="Normal 4 2 2 3 2 8 2" xfId="6784" xr:uid="{00000000-0005-0000-0000-000042120000}"/>
    <cellStyle name="Normal 4 2 2 3 2 8 2 2" xfId="15226" xr:uid="{C856598E-4D40-45EC-8F86-B72F963DB21C}"/>
    <cellStyle name="Normal 4 2 2 3 2 8 3" xfId="11008" xr:uid="{AAD9D9F7-DC45-4C3D-87C6-F0242D934C59}"/>
    <cellStyle name="Normal 4 2 2 3 2 9" xfId="4719" xr:uid="{00000000-0005-0000-0000-000043120000}"/>
    <cellStyle name="Normal 4 2 2 3 2 9 2" xfId="13161" xr:uid="{6AD051AE-F126-4438-BC7D-1240E5AAFCBE}"/>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D8729330-4D6D-48AB-AF8A-D9EBD6C1293F}"/>
    <cellStyle name="Normal 4 2 2 3 3 2 2 2 3" xfId="11506" xr:uid="{437496E9-6F9B-4431-BE73-685776A33C5C}"/>
    <cellStyle name="Normal 4 2 2 3 3 2 2 3" xfId="5137" xr:uid="{00000000-0005-0000-0000-000049120000}"/>
    <cellStyle name="Normal 4 2 2 3 3 2 2 3 2" xfId="13579" xr:uid="{8B8ADBD9-B33B-4E06-B47B-E5995EE49562}"/>
    <cellStyle name="Normal 4 2 2 3 3 2 2 4" xfId="9361" xr:uid="{17CE7236-A90A-4D6C-BE41-B08878E856E5}"/>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1B19F874-12B6-40CC-AD98-7B1F8CF6C4EB}"/>
    <cellStyle name="Normal 4 2 2 3 3 2 3 2 3" xfId="11919" xr:uid="{77ECB101-1749-43F2-A718-6E1BD6111FA7}"/>
    <cellStyle name="Normal 4 2 2 3 3 2 3 3" xfId="5550" xr:uid="{00000000-0005-0000-0000-00004D120000}"/>
    <cellStyle name="Normal 4 2 2 3 3 2 3 3 2" xfId="13992" xr:uid="{AD5DEC88-4B99-4229-9A80-47966A76E676}"/>
    <cellStyle name="Normal 4 2 2 3 3 2 3 4" xfId="9774" xr:uid="{D5826CA1-6166-446B-BA74-D1C22DE6DE1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770D0402-3D96-4D90-921F-C13472BE1061}"/>
    <cellStyle name="Normal 4 2 2 3 3 2 4 2 3" xfId="12332" xr:uid="{A7C6D6AC-51F9-4ECC-9463-F27A4AC7867C}"/>
    <cellStyle name="Normal 4 2 2 3 3 2 4 3" xfId="5963" xr:uid="{00000000-0005-0000-0000-000051120000}"/>
    <cellStyle name="Normal 4 2 2 3 3 2 4 3 2" xfId="14405" xr:uid="{E90E2E6A-E04F-4FAB-8D40-E7C3FE2B62B2}"/>
    <cellStyle name="Normal 4 2 2 3 3 2 4 4" xfId="10187" xr:uid="{6938D215-59D2-4240-B8F8-64D6ED2675E1}"/>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938B408D-917D-451F-8155-E25192DE25DA}"/>
    <cellStyle name="Normal 4 2 2 3 3 2 5 2 3" xfId="12745" xr:uid="{B2EA6FAA-0978-4D86-9531-03158581A9FB}"/>
    <cellStyle name="Normal 4 2 2 3 3 2 5 3" xfId="6376" xr:uid="{00000000-0005-0000-0000-000055120000}"/>
    <cellStyle name="Normal 4 2 2 3 3 2 5 3 2" xfId="14818" xr:uid="{F5F641D0-33BF-4848-A836-CCBBB7B85934}"/>
    <cellStyle name="Normal 4 2 2 3 3 2 5 4" xfId="10600" xr:uid="{B45E90F2-8038-4AA0-ACD2-196DEAB87A78}"/>
    <cellStyle name="Normal 4 2 2 3 3 2 6" xfId="2505" xr:uid="{00000000-0005-0000-0000-000056120000}"/>
    <cellStyle name="Normal 4 2 2 3 3 2 6 2" xfId="6789" xr:uid="{00000000-0005-0000-0000-000057120000}"/>
    <cellStyle name="Normal 4 2 2 3 3 2 6 2 2" xfId="15231" xr:uid="{B76B37FA-7089-4F07-9372-7532092A64E4}"/>
    <cellStyle name="Normal 4 2 2 3 3 2 6 3" xfId="11013" xr:uid="{AD97FA42-EF4C-4281-8465-DB28D7829317}"/>
    <cellStyle name="Normal 4 2 2 3 3 2 7" xfId="4724" xr:uid="{00000000-0005-0000-0000-000058120000}"/>
    <cellStyle name="Normal 4 2 2 3 3 2 7 2" xfId="13166" xr:uid="{87782F4B-8A10-4046-81EE-038374E4258F}"/>
    <cellStyle name="Normal 4 2 2 3 3 2 8" xfId="8948" xr:uid="{B48106C3-ABBE-46FF-8194-100C1C2EAB69}"/>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8877B2F8-E7C0-4C9D-812C-43F9274C16AE}"/>
    <cellStyle name="Normal 4 2 2 3 3 3 2 3" xfId="11505" xr:uid="{9709E1A1-525C-4840-9A6A-6E47538448C6}"/>
    <cellStyle name="Normal 4 2 2 3 3 3 3" xfId="5136" xr:uid="{00000000-0005-0000-0000-00005C120000}"/>
    <cellStyle name="Normal 4 2 2 3 3 3 3 2" xfId="13578" xr:uid="{86B728FD-1823-454B-B048-21D8409B0874}"/>
    <cellStyle name="Normal 4 2 2 3 3 3 4" xfId="9360" xr:uid="{018BC661-6227-4C4E-A4EC-DA1A02A2D6FC}"/>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996E2077-9F0E-4172-BAE9-34F355A74FA8}"/>
    <cellStyle name="Normal 4 2 2 3 3 4 2 3" xfId="11918" xr:uid="{FBF04A11-8B4C-48E8-ACF9-53AD96BB1D95}"/>
    <cellStyle name="Normal 4 2 2 3 3 4 3" xfId="5549" xr:uid="{00000000-0005-0000-0000-000060120000}"/>
    <cellStyle name="Normal 4 2 2 3 3 4 3 2" xfId="13991" xr:uid="{46824DFE-7E50-47A6-9CC9-26AF1528E80A}"/>
    <cellStyle name="Normal 4 2 2 3 3 4 4" xfId="9773" xr:uid="{5614CE35-29B7-47A2-BD33-E251F7CD2549}"/>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6C7D1884-567E-4AD3-BA02-0BEE26F4FD0D}"/>
    <cellStyle name="Normal 4 2 2 3 3 5 2 3" xfId="12331" xr:uid="{32DEBF41-9E7E-4FB5-A40A-CFDC01E9DFED}"/>
    <cellStyle name="Normal 4 2 2 3 3 5 3" xfId="5962" xr:uid="{00000000-0005-0000-0000-000064120000}"/>
    <cellStyle name="Normal 4 2 2 3 3 5 3 2" xfId="14404" xr:uid="{36B9AC5B-42D9-4BBA-A344-7E26238430F8}"/>
    <cellStyle name="Normal 4 2 2 3 3 5 4" xfId="10186" xr:uid="{36CE4643-65D3-4773-93B6-FC731395C1EE}"/>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01FEBCC1-A14D-4D9E-9E31-23771CBAE52D}"/>
    <cellStyle name="Normal 4 2 2 3 3 6 2 3" xfId="12744" xr:uid="{A2ADAB52-CC08-4993-AD97-F9DEEDD1E373}"/>
    <cellStyle name="Normal 4 2 2 3 3 6 3" xfId="6375" xr:uid="{00000000-0005-0000-0000-000068120000}"/>
    <cellStyle name="Normal 4 2 2 3 3 6 3 2" xfId="14817" xr:uid="{298296E7-0020-4B84-AC18-56776CDB8F86}"/>
    <cellStyle name="Normal 4 2 2 3 3 6 4" xfId="10599" xr:uid="{0E283752-5B6D-4BA1-8481-5D61287372CD}"/>
    <cellStyle name="Normal 4 2 2 3 3 7" xfId="2504" xr:uid="{00000000-0005-0000-0000-000069120000}"/>
    <cellStyle name="Normal 4 2 2 3 3 7 2" xfId="6788" xr:uid="{00000000-0005-0000-0000-00006A120000}"/>
    <cellStyle name="Normal 4 2 2 3 3 7 2 2" xfId="15230" xr:uid="{63403D6A-0692-4ADB-A528-ADA6F3764272}"/>
    <cellStyle name="Normal 4 2 2 3 3 7 3" xfId="11012" xr:uid="{D026B20D-76C4-4503-9589-0188E8778E44}"/>
    <cellStyle name="Normal 4 2 2 3 3 8" xfId="4723" xr:uid="{00000000-0005-0000-0000-00006B120000}"/>
    <cellStyle name="Normal 4 2 2 3 3 8 2" xfId="13165" xr:uid="{A594AF3E-4E42-4D17-9A2A-BC72B129D14F}"/>
    <cellStyle name="Normal 4 2 2 3 3 9" xfId="8947" xr:uid="{8041E1EC-6F72-46E9-9344-FF970DD2A4FA}"/>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0920FC6A-34F8-4D45-9A07-86CB2F6C082D}"/>
    <cellStyle name="Normal 4 2 2 3 4 2 2 3" xfId="11507" xr:uid="{8B5FF2C3-621C-4D7C-B766-30343C730D02}"/>
    <cellStyle name="Normal 4 2 2 3 4 2 3" xfId="5138" xr:uid="{00000000-0005-0000-0000-000070120000}"/>
    <cellStyle name="Normal 4 2 2 3 4 2 3 2" xfId="13580" xr:uid="{E97E3998-DF3D-4BB6-8D9C-CCE702BD5A70}"/>
    <cellStyle name="Normal 4 2 2 3 4 2 4" xfId="9362" xr:uid="{CB71BB65-5EBF-43C0-8008-46A7A4D9A373}"/>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967A9545-6E1D-4213-AD08-D0F8E170EC2C}"/>
    <cellStyle name="Normal 4 2 2 3 4 3 2 3" xfId="11920" xr:uid="{EAA318F0-AB51-4022-BF3E-3813D8E0C855}"/>
    <cellStyle name="Normal 4 2 2 3 4 3 3" xfId="5551" xr:uid="{00000000-0005-0000-0000-000074120000}"/>
    <cellStyle name="Normal 4 2 2 3 4 3 3 2" xfId="13993" xr:uid="{57473C61-45C3-4870-9E3B-F8AC6F376550}"/>
    <cellStyle name="Normal 4 2 2 3 4 3 4" xfId="9775" xr:uid="{C1634C39-306E-4395-8A12-B3C8384BFC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B6CD0E76-01B9-428A-B46D-01E2D5AD13D3}"/>
    <cellStyle name="Normal 4 2 2 3 4 4 2 3" xfId="12333" xr:uid="{0546C583-8AE8-4F6D-945D-8BF187138BB6}"/>
    <cellStyle name="Normal 4 2 2 3 4 4 3" xfId="5964" xr:uid="{00000000-0005-0000-0000-000078120000}"/>
    <cellStyle name="Normal 4 2 2 3 4 4 3 2" xfId="14406" xr:uid="{F045ADCB-48DC-4746-B7D1-4C300EEFAB06}"/>
    <cellStyle name="Normal 4 2 2 3 4 4 4" xfId="10188" xr:uid="{D770E0E6-1DEE-4988-897A-D09B525BEFAD}"/>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521A19A1-1FC5-4D2F-AB40-1C5CCCDB8DA6}"/>
    <cellStyle name="Normal 4 2 2 3 4 5 2 3" xfId="12746" xr:uid="{B9637D41-A6C2-4DD9-8D61-D0A33DC8B834}"/>
    <cellStyle name="Normal 4 2 2 3 4 5 3" xfId="6377" xr:uid="{00000000-0005-0000-0000-00007C120000}"/>
    <cellStyle name="Normal 4 2 2 3 4 5 3 2" xfId="14819" xr:uid="{CEBDBB21-4A0A-400D-8947-90F7733EC394}"/>
    <cellStyle name="Normal 4 2 2 3 4 5 4" xfId="10601" xr:uid="{DC2AC2F0-CEAD-4C3B-A317-7949989F101D}"/>
    <cellStyle name="Normal 4 2 2 3 4 6" xfId="2506" xr:uid="{00000000-0005-0000-0000-00007D120000}"/>
    <cellStyle name="Normal 4 2 2 3 4 6 2" xfId="6790" xr:uid="{00000000-0005-0000-0000-00007E120000}"/>
    <cellStyle name="Normal 4 2 2 3 4 6 2 2" xfId="15232" xr:uid="{2D5D8071-F34F-4E72-BE3B-A4A0F0F5D787}"/>
    <cellStyle name="Normal 4 2 2 3 4 6 3" xfId="11014" xr:uid="{92292563-159F-467B-9FA4-81A87F362948}"/>
    <cellStyle name="Normal 4 2 2 3 4 7" xfId="4725" xr:uid="{00000000-0005-0000-0000-00007F120000}"/>
    <cellStyle name="Normal 4 2 2 3 4 7 2" xfId="13167" xr:uid="{3EB4CDB8-05E9-48C2-8BEB-06CC73289846}"/>
    <cellStyle name="Normal 4 2 2 3 4 8" xfId="8949" xr:uid="{39DD89AF-740D-4A0B-9A61-E8EAF18BA9C6}"/>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BB08C26F-330F-4098-AC43-FA1EACD73432}"/>
    <cellStyle name="Normal 4 2 2 3 5 2 3" xfId="11500" xr:uid="{1565DCDF-7FBD-41A2-97FE-38D60B3EC785}"/>
    <cellStyle name="Normal 4 2 2 3 5 3" xfId="5131" xr:uid="{00000000-0005-0000-0000-000083120000}"/>
    <cellStyle name="Normal 4 2 2 3 5 3 2" xfId="13573" xr:uid="{472BB8C6-4724-4A10-8E4A-A304D5EC2EA3}"/>
    <cellStyle name="Normal 4 2 2 3 5 4" xfId="9355" xr:uid="{0364CD36-6463-4FF0-9FE2-3072A725671E}"/>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CEC2F650-BCC6-484D-8888-5A1E149716A0}"/>
    <cellStyle name="Normal 4 2 2 3 6 2 3" xfId="11913" xr:uid="{E2E8B536-E1BD-4174-9DDF-2995786A530C}"/>
    <cellStyle name="Normal 4 2 2 3 6 3" xfId="5544" xr:uid="{00000000-0005-0000-0000-000087120000}"/>
    <cellStyle name="Normal 4 2 2 3 6 3 2" xfId="13986" xr:uid="{1032EBC1-79EF-41FB-8B3D-B767C98D4E6C}"/>
    <cellStyle name="Normal 4 2 2 3 6 4" xfId="9768" xr:uid="{824FD8C5-2449-4C98-A6E7-1CB9BBB50398}"/>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35B9ADAB-1165-4F98-804B-DA11D7B6EE94}"/>
    <cellStyle name="Normal 4 2 2 3 7 2 3" xfId="12326" xr:uid="{10AEC4B6-508C-4BFB-8D6D-430F0FB02B24}"/>
    <cellStyle name="Normal 4 2 2 3 7 3" xfId="5957" xr:uid="{00000000-0005-0000-0000-00008B120000}"/>
    <cellStyle name="Normal 4 2 2 3 7 3 2" xfId="14399" xr:uid="{7FEEA7AE-0E0A-4856-B48A-6F585D9AF21A}"/>
    <cellStyle name="Normal 4 2 2 3 7 4" xfId="10181" xr:uid="{8289AB34-74AB-4DEB-B146-6BC2D1823197}"/>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051278E8-D1CC-4288-886B-CF9FED3D175D}"/>
    <cellStyle name="Normal 4 2 2 3 8 2 3" xfId="12739" xr:uid="{DDD98C88-34CD-4DD6-A72E-5B317723424C}"/>
    <cellStyle name="Normal 4 2 2 3 8 3" xfId="6370" xr:uid="{00000000-0005-0000-0000-00008F120000}"/>
    <cellStyle name="Normal 4 2 2 3 8 3 2" xfId="14812" xr:uid="{4058B3F1-7FD0-4CE9-89AC-0EB491BD9AFE}"/>
    <cellStyle name="Normal 4 2 2 3 8 4" xfId="10594" xr:uid="{B6D3E5B0-96DC-49EB-B8AA-F34D13C32D0C}"/>
    <cellStyle name="Normal 4 2 2 3 9" xfId="2499" xr:uid="{00000000-0005-0000-0000-000090120000}"/>
    <cellStyle name="Normal 4 2 2 3 9 2" xfId="6783" xr:uid="{00000000-0005-0000-0000-000091120000}"/>
    <cellStyle name="Normal 4 2 2 3 9 2 2" xfId="15225" xr:uid="{698C335E-3522-4878-BECA-8BCF52D68A76}"/>
    <cellStyle name="Normal 4 2 2 3 9 3" xfId="11007" xr:uid="{C48D0367-C395-40EE-95CA-C6EB9617E535}"/>
    <cellStyle name="Normal 4 2 2 4" xfId="347" xr:uid="{00000000-0005-0000-0000-000092120000}"/>
    <cellStyle name="Normal 4 2 2 4 10" xfId="8950" xr:uid="{9D6E1C5A-5A99-416A-A29A-205F75C28C41}"/>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59CB19E6-C568-462E-B91A-79DC7F9567A2}"/>
    <cellStyle name="Normal 4 2 2 4 2 2 2 2 3" xfId="11510" xr:uid="{6EEA359D-6FC8-46BD-AB9C-450E9D706ADA}"/>
    <cellStyle name="Normal 4 2 2 4 2 2 2 3" xfId="5141" xr:uid="{00000000-0005-0000-0000-000098120000}"/>
    <cellStyle name="Normal 4 2 2 4 2 2 2 3 2" xfId="13583" xr:uid="{706343CD-7396-497C-A468-20D23929ADEA}"/>
    <cellStyle name="Normal 4 2 2 4 2 2 2 4" xfId="9365" xr:uid="{B424C443-A840-412C-9C44-C4516EFB9F83}"/>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71F2500E-4A21-4F71-97F6-CFBEB2E06C52}"/>
    <cellStyle name="Normal 4 2 2 4 2 2 3 2 3" xfId="11923" xr:uid="{2D7B141D-9B81-43B7-A0CF-4B27800FE550}"/>
    <cellStyle name="Normal 4 2 2 4 2 2 3 3" xfId="5554" xr:uid="{00000000-0005-0000-0000-00009C120000}"/>
    <cellStyle name="Normal 4 2 2 4 2 2 3 3 2" xfId="13996" xr:uid="{62739743-0515-4CC6-9CDA-771C4DF87AA3}"/>
    <cellStyle name="Normal 4 2 2 4 2 2 3 4" xfId="9778" xr:uid="{DE7863BF-3292-45D8-A3CB-5EC3FCCA33B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03AADE80-7438-4B4F-BC8E-6D80A4E2450F}"/>
    <cellStyle name="Normal 4 2 2 4 2 2 4 2 3" xfId="12336" xr:uid="{03C8C073-80E4-4E6E-BB07-4138BAF1A55F}"/>
    <cellStyle name="Normal 4 2 2 4 2 2 4 3" xfId="5967" xr:uid="{00000000-0005-0000-0000-0000A0120000}"/>
    <cellStyle name="Normal 4 2 2 4 2 2 4 3 2" xfId="14409" xr:uid="{3AEBB7DB-2DFA-482B-878B-D70B672DC372}"/>
    <cellStyle name="Normal 4 2 2 4 2 2 4 4" xfId="10191" xr:uid="{DB71CAAB-D526-4D7E-9F84-EE900450D5E8}"/>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3F444AF7-A0AF-4F8D-B266-A9B7F03C045D}"/>
    <cellStyle name="Normal 4 2 2 4 2 2 5 2 3" xfId="12749" xr:uid="{888EAF76-4671-4C61-AC6F-09210636C648}"/>
    <cellStyle name="Normal 4 2 2 4 2 2 5 3" xfId="6380" xr:uid="{00000000-0005-0000-0000-0000A4120000}"/>
    <cellStyle name="Normal 4 2 2 4 2 2 5 3 2" xfId="14822" xr:uid="{5E27AE40-2DA2-4A2F-B3DC-DF33EE35F3E2}"/>
    <cellStyle name="Normal 4 2 2 4 2 2 5 4" xfId="10604" xr:uid="{AFA1B971-6989-4EEE-949A-7365968EC698}"/>
    <cellStyle name="Normal 4 2 2 4 2 2 6" xfId="2509" xr:uid="{00000000-0005-0000-0000-0000A5120000}"/>
    <cellStyle name="Normal 4 2 2 4 2 2 6 2" xfId="6793" xr:uid="{00000000-0005-0000-0000-0000A6120000}"/>
    <cellStyle name="Normal 4 2 2 4 2 2 6 2 2" xfId="15235" xr:uid="{09727165-65CE-4AF5-B0FE-5929D915396F}"/>
    <cellStyle name="Normal 4 2 2 4 2 2 6 3" xfId="11017" xr:uid="{AE52E319-9AE1-43CD-B5CF-ED7D0D648C5F}"/>
    <cellStyle name="Normal 4 2 2 4 2 2 7" xfId="4728" xr:uid="{00000000-0005-0000-0000-0000A7120000}"/>
    <cellStyle name="Normal 4 2 2 4 2 2 7 2" xfId="13170" xr:uid="{B6F597FC-77EE-4FCC-B202-AEE6CEAD7B66}"/>
    <cellStyle name="Normal 4 2 2 4 2 2 8" xfId="8952" xr:uid="{3016D9EB-4D94-4DE5-9BC0-768BB4C98AA1}"/>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096BBEF5-474D-416D-93D5-91ABAB14E8B4}"/>
    <cellStyle name="Normal 4 2 2 4 2 3 2 3" xfId="11509" xr:uid="{AC662C1A-F7A7-4560-B7C5-30AB9CCFAEE9}"/>
    <cellStyle name="Normal 4 2 2 4 2 3 3" xfId="5140" xr:uid="{00000000-0005-0000-0000-0000AB120000}"/>
    <cellStyle name="Normal 4 2 2 4 2 3 3 2" xfId="13582" xr:uid="{0C01E8BA-7DD0-48A9-B350-8BD63A2DA8EA}"/>
    <cellStyle name="Normal 4 2 2 4 2 3 4" xfId="9364" xr:uid="{D40CC97C-0F16-4D2D-A854-58D34DC4052D}"/>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EED8205C-AD3D-4B05-8A87-9EED2A09B108}"/>
    <cellStyle name="Normal 4 2 2 4 2 4 2 3" xfId="11922" xr:uid="{3F10FF0C-3A10-439E-985B-67ACA09B824A}"/>
    <cellStyle name="Normal 4 2 2 4 2 4 3" xfId="5553" xr:uid="{00000000-0005-0000-0000-0000AF120000}"/>
    <cellStyle name="Normal 4 2 2 4 2 4 3 2" xfId="13995" xr:uid="{812BB548-07C4-4151-A2DA-799FFD5290A7}"/>
    <cellStyle name="Normal 4 2 2 4 2 4 4" xfId="9777" xr:uid="{9B941BB8-107E-49BE-B126-08D544CC8CA8}"/>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89A0E2D7-32E7-431E-9722-332E58CEAEDD}"/>
    <cellStyle name="Normal 4 2 2 4 2 5 2 3" xfId="12335" xr:uid="{CAD6D9E4-4F51-4407-93C3-A61C07981B05}"/>
    <cellStyle name="Normal 4 2 2 4 2 5 3" xfId="5966" xr:uid="{00000000-0005-0000-0000-0000B3120000}"/>
    <cellStyle name="Normal 4 2 2 4 2 5 3 2" xfId="14408" xr:uid="{0E4B9E13-9AA8-4F9A-A4BF-C1C6ED84B4F5}"/>
    <cellStyle name="Normal 4 2 2 4 2 5 4" xfId="10190" xr:uid="{47AB2541-C69F-422C-98D6-37E4A8ECDB68}"/>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0B1B1BAF-8D7D-4094-8941-A73337AAA1E4}"/>
    <cellStyle name="Normal 4 2 2 4 2 6 2 3" xfId="12748" xr:uid="{C02A31A0-7487-4FBD-8F4B-A9694FFCC79F}"/>
    <cellStyle name="Normal 4 2 2 4 2 6 3" xfId="6379" xr:uid="{00000000-0005-0000-0000-0000B7120000}"/>
    <cellStyle name="Normal 4 2 2 4 2 6 3 2" xfId="14821" xr:uid="{D68561E0-67B1-41F9-B320-5ABE15F60D3F}"/>
    <cellStyle name="Normal 4 2 2 4 2 6 4" xfId="10603" xr:uid="{5F332AA6-2272-4297-B0BC-30EF519EE70D}"/>
    <cellStyle name="Normal 4 2 2 4 2 7" xfId="2508" xr:uid="{00000000-0005-0000-0000-0000B8120000}"/>
    <cellStyle name="Normal 4 2 2 4 2 7 2" xfId="6792" xr:uid="{00000000-0005-0000-0000-0000B9120000}"/>
    <cellStyle name="Normal 4 2 2 4 2 7 2 2" xfId="15234" xr:uid="{CA44B91F-80AC-43D6-8910-B6E338CBD0A0}"/>
    <cellStyle name="Normal 4 2 2 4 2 7 3" xfId="11016" xr:uid="{18CC5508-2253-461F-8BEC-74985F6752DF}"/>
    <cellStyle name="Normal 4 2 2 4 2 8" xfId="4727" xr:uid="{00000000-0005-0000-0000-0000BA120000}"/>
    <cellStyle name="Normal 4 2 2 4 2 8 2" xfId="13169" xr:uid="{400A2A2C-F6AF-40EC-ABAF-CAB8139697F1}"/>
    <cellStyle name="Normal 4 2 2 4 2 9" xfId="8951" xr:uid="{4858060B-87A2-40F4-87CD-68B8ED81C842}"/>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534D8144-0511-4441-A06B-94A4E6841566}"/>
    <cellStyle name="Normal 4 2 2 4 3 2 2 3" xfId="11511" xr:uid="{6B4429E0-D7AD-4557-92F7-3A4B951C701E}"/>
    <cellStyle name="Normal 4 2 2 4 3 2 3" xfId="5142" xr:uid="{00000000-0005-0000-0000-0000BF120000}"/>
    <cellStyle name="Normal 4 2 2 4 3 2 3 2" xfId="13584" xr:uid="{549C1EA1-1F88-467D-A4F1-E4D27391D5FF}"/>
    <cellStyle name="Normal 4 2 2 4 3 2 4" xfId="9366" xr:uid="{C6F94C33-C831-49D6-AE0E-94D2A9C7985F}"/>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DE259A93-CDB8-4A09-840B-5DB25118381D}"/>
    <cellStyle name="Normal 4 2 2 4 3 3 2 3" xfId="11924" xr:uid="{D8D734FD-F410-4BD8-8946-5D2D8BC06419}"/>
    <cellStyle name="Normal 4 2 2 4 3 3 3" xfId="5555" xr:uid="{00000000-0005-0000-0000-0000C3120000}"/>
    <cellStyle name="Normal 4 2 2 4 3 3 3 2" xfId="13997" xr:uid="{4F099FDF-AF04-46A1-A372-6A7C31904034}"/>
    <cellStyle name="Normal 4 2 2 4 3 3 4" xfId="9779" xr:uid="{4F8DEF69-4BDC-4A77-8460-5293C0846051}"/>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E8D0EBE8-70FF-4AA9-8193-E4330B8C67E7}"/>
    <cellStyle name="Normal 4 2 2 4 3 4 2 3" xfId="12337" xr:uid="{3CC69D64-85A2-4E99-952C-8FA691E5CCF5}"/>
    <cellStyle name="Normal 4 2 2 4 3 4 3" xfId="5968" xr:uid="{00000000-0005-0000-0000-0000C7120000}"/>
    <cellStyle name="Normal 4 2 2 4 3 4 3 2" xfId="14410" xr:uid="{9A31FAF7-C606-41CE-991F-E32F5515C21D}"/>
    <cellStyle name="Normal 4 2 2 4 3 4 4" xfId="10192" xr:uid="{0A17A754-0E96-4DAC-B004-BEAA3C9D6106}"/>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808B5C6D-FFC0-4D60-8735-164FA6C3082E}"/>
    <cellStyle name="Normal 4 2 2 4 3 5 2 3" xfId="12750" xr:uid="{B37E026E-E756-4F9D-B358-CEE975171207}"/>
    <cellStyle name="Normal 4 2 2 4 3 5 3" xfId="6381" xr:uid="{00000000-0005-0000-0000-0000CB120000}"/>
    <cellStyle name="Normal 4 2 2 4 3 5 3 2" xfId="14823" xr:uid="{4252A45E-6238-490E-A7B5-B04DC19996C9}"/>
    <cellStyle name="Normal 4 2 2 4 3 5 4" xfId="10605" xr:uid="{8514798E-3713-4452-B63B-FBAE52BADD02}"/>
    <cellStyle name="Normal 4 2 2 4 3 6" xfId="2510" xr:uid="{00000000-0005-0000-0000-0000CC120000}"/>
    <cellStyle name="Normal 4 2 2 4 3 6 2" xfId="6794" xr:uid="{00000000-0005-0000-0000-0000CD120000}"/>
    <cellStyle name="Normal 4 2 2 4 3 6 2 2" xfId="15236" xr:uid="{B7347C78-3F9D-43B5-B713-214359A85902}"/>
    <cellStyle name="Normal 4 2 2 4 3 6 3" xfId="11018" xr:uid="{0D83D5D0-12B2-4DDF-95F1-F1EC4A38C03E}"/>
    <cellStyle name="Normal 4 2 2 4 3 7" xfId="4729" xr:uid="{00000000-0005-0000-0000-0000CE120000}"/>
    <cellStyle name="Normal 4 2 2 4 3 7 2" xfId="13171" xr:uid="{69091D6B-5E0B-4F91-B544-4D5FA7596A7A}"/>
    <cellStyle name="Normal 4 2 2 4 3 8" xfId="8953" xr:uid="{4B3E2956-1C62-417F-8573-203B2EEBD043}"/>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5784AC48-C4DE-4C21-9400-9F7F58B57EE4}"/>
    <cellStyle name="Normal 4 2 2 4 4 2 3" xfId="11508" xr:uid="{4183E668-F971-4250-A157-69D944EA986F}"/>
    <cellStyle name="Normal 4 2 2 4 4 3" xfId="5139" xr:uid="{00000000-0005-0000-0000-0000D2120000}"/>
    <cellStyle name="Normal 4 2 2 4 4 3 2" xfId="13581" xr:uid="{0B77216C-9A96-4EC4-924F-5EA0E8F3BBBF}"/>
    <cellStyle name="Normal 4 2 2 4 4 4" xfId="9363" xr:uid="{AE071C93-14C8-493C-A54E-31CEE55F6B37}"/>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FFAA136E-CF59-4AAC-9C2C-B5BE6DC6B842}"/>
    <cellStyle name="Normal 4 2 2 4 5 2 3" xfId="11921" xr:uid="{6A6F4FC4-E146-4618-AFD0-203B5FD103BB}"/>
    <cellStyle name="Normal 4 2 2 4 5 3" xfId="5552" xr:uid="{00000000-0005-0000-0000-0000D6120000}"/>
    <cellStyle name="Normal 4 2 2 4 5 3 2" xfId="13994" xr:uid="{BFD32EBB-E891-41A4-8C6B-77D450EA5798}"/>
    <cellStyle name="Normal 4 2 2 4 5 4" xfId="9776" xr:uid="{1ADA7804-5061-423A-84B6-68D1E79E2A54}"/>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9ADAA11A-6071-4B8A-8D46-D8D12227ABBF}"/>
    <cellStyle name="Normal 4 2 2 4 6 2 3" xfId="12334" xr:uid="{A56EC78B-7022-49C8-8B63-CF86BAEAF6B8}"/>
    <cellStyle name="Normal 4 2 2 4 6 3" xfId="5965" xr:uid="{00000000-0005-0000-0000-0000DA120000}"/>
    <cellStyle name="Normal 4 2 2 4 6 3 2" xfId="14407" xr:uid="{CA608037-B86E-43A1-A72F-76F8113ABF11}"/>
    <cellStyle name="Normal 4 2 2 4 6 4" xfId="10189" xr:uid="{5BE7CC8A-CDCD-400C-949A-97557812A991}"/>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0FD9B70F-88CB-43E9-B7A9-A8C3F75A2317}"/>
    <cellStyle name="Normal 4 2 2 4 7 2 3" xfId="12747" xr:uid="{39ED7DED-1827-407E-91DD-ABDD002E7B07}"/>
    <cellStyle name="Normal 4 2 2 4 7 3" xfId="6378" xr:uid="{00000000-0005-0000-0000-0000DE120000}"/>
    <cellStyle name="Normal 4 2 2 4 7 3 2" xfId="14820" xr:uid="{4B8CD930-452B-4142-A2C3-83EA4EEF6193}"/>
    <cellStyle name="Normal 4 2 2 4 7 4" xfId="10602" xr:uid="{3006D808-1F19-4517-8A08-8FA13C81A015}"/>
    <cellStyle name="Normal 4 2 2 4 8" xfId="2507" xr:uid="{00000000-0005-0000-0000-0000DF120000}"/>
    <cellStyle name="Normal 4 2 2 4 8 2" xfId="6791" xr:uid="{00000000-0005-0000-0000-0000E0120000}"/>
    <cellStyle name="Normal 4 2 2 4 8 2 2" xfId="15233" xr:uid="{7F9209C7-1507-472A-83CD-A595319741EA}"/>
    <cellStyle name="Normal 4 2 2 4 8 3" xfId="11015" xr:uid="{5B1FDE23-7E59-461E-86EF-4D1EFE556000}"/>
    <cellStyle name="Normal 4 2 2 4 9" xfId="4726" xr:uid="{00000000-0005-0000-0000-0000E1120000}"/>
    <cellStyle name="Normal 4 2 2 4 9 2" xfId="13168" xr:uid="{5DCC1892-D3AA-4EF0-B1BD-05EB5008392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588C8D28-00B7-4D5C-B0C4-160022FDDFD1}"/>
    <cellStyle name="Normal 4 2 2 5 2 2 2 3" xfId="11513" xr:uid="{CD9C0FC8-CC0D-40A1-96A9-72D86A898A40}"/>
    <cellStyle name="Normal 4 2 2 5 2 2 3" xfId="5144" xr:uid="{00000000-0005-0000-0000-0000E7120000}"/>
    <cellStyle name="Normal 4 2 2 5 2 2 3 2" xfId="13586" xr:uid="{40265CB6-5FC9-4543-8F2E-DD2AD92F5952}"/>
    <cellStyle name="Normal 4 2 2 5 2 2 4" xfId="9368" xr:uid="{3C4FB065-3DC5-48D6-AA8B-CC34503E1E38}"/>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124A07B3-86C4-49D4-BB0F-F931E5A74848}"/>
    <cellStyle name="Normal 4 2 2 5 2 3 2 3" xfId="11926" xr:uid="{6E70C8CB-DCDF-4C14-95ED-274E60EFAD89}"/>
    <cellStyle name="Normal 4 2 2 5 2 3 3" xfId="5557" xr:uid="{00000000-0005-0000-0000-0000EB120000}"/>
    <cellStyle name="Normal 4 2 2 5 2 3 3 2" xfId="13999" xr:uid="{4EDBD2B3-F94A-4AE4-A765-F1D585568DD6}"/>
    <cellStyle name="Normal 4 2 2 5 2 3 4" xfId="9781" xr:uid="{1BC31EA4-3C97-4C1B-B82D-A729E676B3AB}"/>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C82D106D-B035-4CA9-B95A-E4157D66C361}"/>
    <cellStyle name="Normal 4 2 2 5 2 4 2 3" xfId="12339" xr:uid="{9B7337A6-55AD-4285-B020-234DBEE53BA0}"/>
    <cellStyle name="Normal 4 2 2 5 2 4 3" xfId="5970" xr:uid="{00000000-0005-0000-0000-0000EF120000}"/>
    <cellStyle name="Normal 4 2 2 5 2 4 3 2" xfId="14412" xr:uid="{EBDEDC90-42D1-4268-AFFE-B9273F492B37}"/>
    <cellStyle name="Normal 4 2 2 5 2 4 4" xfId="10194" xr:uid="{FF66EB23-5305-4DF2-A699-DFEF240173AD}"/>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3B44D0CC-A6BF-4D6A-951D-04176567F61D}"/>
    <cellStyle name="Normal 4 2 2 5 2 5 2 3" xfId="12752" xr:uid="{9F335F0A-377D-4E2B-95E6-61131440E80F}"/>
    <cellStyle name="Normal 4 2 2 5 2 5 3" xfId="6383" xr:uid="{00000000-0005-0000-0000-0000F3120000}"/>
    <cellStyle name="Normal 4 2 2 5 2 5 3 2" xfId="14825" xr:uid="{4B67492E-A9B5-4DB7-B86A-328F391E5A47}"/>
    <cellStyle name="Normal 4 2 2 5 2 5 4" xfId="10607" xr:uid="{F35AEF9F-9DD6-4832-9975-83A17D06F3ED}"/>
    <cellStyle name="Normal 4 2 2 5 2 6" xfId="2512" xr:uid="{00000000-0005-0000-0000-0000F4120000}"/>
    <cellStyle name="Normal 4 2 2 5 2 6 2" xfId="6796" xr:uid="{00000000-0005-0000-0000-0000F5120000}"/>
    <cellStyle name="Normal 4 2 2 5 2 6 2 2" xfId="15238" xr:uid="{B85FEA77-1842-468D-A8E2-70701AE41115}"/>
    <cellStyle name="Normal 4 2 2 5 2 6 3" xfId="11020" xr:uid="{C9C7A1E1-D47E-4A9B-BE86-CDEFF7000573}"/>
    <cellStyle name="Normal 4 2 2 5 2 7" xfId="4731" xr:uid="{00000000-0005-0000-0000-0000F6120000}"/>
    <cellStyle name="Normal 4 2 2 5 2 7 2" xfId="13173" xr:uid="{85658BF5-705C-45DB-AC77-5C91430826F8}"/>
    <cellStyle name="Normal 4 2 2 5 2 8" xfId="8955" xr:uid="{5D0B3FB3-14AB-4B7F-84BF-E87A01932A49}"/>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3FB37668-2EA2-49B1-90A1-7E4D6170DBBA}"/>
    <cellStyle name="Normal 4 2 2 5 3 2 3" xfId="11512" xr:uid="{2824CBEF-5183-46F4-BFD0-9FD3D6C8F4CA}"/>
    <cellStyle name="Normal 4 2 2 5 3 3" xfId="5143" xr:uid="{00000000-0005-0000-0000-0000FA120000}"/>
    <cellStyle name="Normal 4 2 2 5 3 3 2" xfId="13585" xr:uid="{91076405-49D4-4D99-9834-DEDCBF4A3A34}"/>
    <cellStyle name="Normal 4 2 2 5 3 4" xfId="9367" xr:uid="{EEA8F766-4B18-405E-AF58-A5ADD0659253}"/>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27DAA387-FF2C-44A4-B936-A5799F895364}"/>
    <cellStyle name="Normal 4 2 2 5 4 2 3" xfId="11925" xr:uid="{6FF198EC-D570-4FC5-B379-90BF0C985117}"/>
    <cellStyle name="Normal 4 2 2 5 4 3" xfId="5556" xr:uid="{00000000-0005-0000-0000-0000FE120000}"/>
    <cellStyle name="Normal 4 2 2 5 4 3 2" xfId="13998" xr:uid="{FC9C6867-5218-4093-99A4-DF63CFBC0F1C}"/>
    <cellStyle name="Normal 4 2 2 5 4 4" xfId="9780" xr:uid="{3756B244-02AE-4B16-A987-8DDB7BA69434}"/>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D7D84986-C7CD-4E3D-AFF2-9CBC7B5B7A29}"/>
    <cellStyle name="Normal 4 2 2 5 5 2 3" xfId="12338" xr:uid="{943E19AA-F57C-4A37-B836-9CB5AA1DDBD0}"/>
    <cellStyle name="Normal 4 2 2 5 5 3" xfId="5969" xr:uid="{00000000-0005-0000-0000-000002130000}"/>
    <cellStyle name="Normal 4 2 2 5 5 3 2" xfId="14411" xr:uid="{1A844224-5479-4FDF-BF3E-9D27500E5C67}"/>
    <cellStyle name="Normal 4 2 2 5 5 4" xfId="10193" xr:uid="{546FAA49-1A36-4FD3-A838-BC123F6BDEF8}"/>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19950026-4B0E-4353-AE1A-D22623789CA1}"/>
    <cellStyle name="Normal 4 2 2 5 6 2 3" xfId="12751" xr:uid="{6FAEEA73-0BBD-4CC0-903A-017BD04325CB}"/>
    <cellStyle name="Normal 4 2 2 5 6 3" xfId="6382" xr:uid="{00000000-0005-0000-0000-000006130000}"/>
    <cellStyle name="Normal 4 2 2 5 6 3 2" xfId="14824" xr:uid="{C70F5C81-114A-4515-AC4F-D02A3297F726}"/>
    <cellStyle name="Normal 4 2 2 5 6 4" xfId="10606" xr:uid="{9F7E3B78-62ED-4377-B67C-6FED7ACAFF84}"/>
    <cellStyle name="Normal 4 2 2 5 7" xfId="2511" xr:uid="{00000000-0005-0000-0000-000007130000}"/>
    <cellStyle name="Normal 4 2 2 5 7 2" xfId="6795" xr:uid="{00000000-0005-0000-0000-000008130000}"/>
    <cellStyle name="Normal 4 2 2 5 7 2 2" xfId="15237" xr:uid="{41229ACD-40FE-41B1-B944-C89BB20B3666}"/>
    <cellStyle name="Normal 4 2 2 5 7 3" xfId="11019" xr:uid="{E371AF53-8BEA-4CC2-A5BF-BFD1FAFBF83B}"/>
    <cellStyle name="Normal 4 2 2 5 8" xfId="4730" xr:uid="{00000000-0005-0000-0000-000009130000}"/>
    <cellStyle name="Normal 4 2 2 5 8 2" xfId="13172" xr:uid="{6B7A3AF4-19C0-4FE7-9DEA-20A068A88624}"/>
    <cellStyle name="Normal 4 2 2 5 9" xfId="8954" xr:uid="{DBFFF682-7FDA-458F-8E59-08B185682847}"/>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B8E5AEAD-3B17-47C8-A6BD-D0BEFA320C56}"/>
    <cellStyle name="Normal 4 2 2 6 2 2 3" xfId="11514" xr:uid="{5A5CA1C0-E071-47E8-9E8D-1B49AD789005}"/>
    <cellStyle name="Normal 4 2 2 6 2 3" xfId="5145" xr:uid="{00000000-0005-0000-0000-00000E130000}"/>
    <cellStyle name="Normal 4 2 2 6 2 3 2" xfId="13587" xr:uid="{DBFCA478-ED8F-4AD9-84F8-A5D8C1494188}"/>
    <cellStyle name="Normal 4 2 2 6 2 4" xfId="9369" xr:uid="{363C66BF-2007-4DFE-A193-9F7ADCAAA508}"/>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4A1E2BA7-AD72-45DA-B1A1-FFEFDAA24CD9}"/>
    <cellStyle name="Normal 4 2 2 6 3 2 3" xfId="11927" xr:uid="{29428083-8EEB-4C28-820C-21D7A6D42B60}"/>
    <cellStyle name="Normal 4 2 2 6 3 3" xfId="5558" xr:uid="{00000000-0005-0000-0000-000012130000}"/>
    <cellStyle name="Normal 4 2 2 6 3 3 2" xfId="14000" xr:uid="{07F8B6AB-87C2-4363-BACF-C364E9FE6942}"/>
    <cellStyle name="Normal 4 2 2 6 3 4" xfId="9782" xr:uid="{2FA94F3E-48FA-49C5-9B39-DD9AD9FF722F}"/>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1E4ACB13-D1C5-4FEA-92AE-66C180F1D88F}"/>
    <cellStyle name="Normal 4 2 2 6 4 2 3" xfId="12340" xr:uid="{EC3A3AFB-0A65-40EE-A01F-BA88F513A4A1}"/>
    <cellStyle name="Normal 4 2 2 6 4 3" xfId="5971" xr:uid="{00000000-0005-0000-0000-000016130000}"/>
    <cellStyle name="Normal 4 2 2 6 4 3 2" xfId="14413" xr:uid="{2F784B57-154E-42FC-8DB7-E69FA090D50E}"/>
    <cellStyle name="Normal 4 2 2 6 4 4" xfId="10195" xr:uid="{6E78BA57-DAD5-4DE1-84B9-B9A96CC1725A}"/>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C75071C8-E520-4CF5-BE67-83D5DBD5E380}"/>
    <cellStyle name="Normal 4 2 2 6 5 2 3" xfId="12753" xr:uid="{917E6D0E-F0BE-4B68-934C-05839F505B73}"/>
    <cellStyle name="Normal 4 2 2 6 5 3" xfId="6384" xr:uid="{00000000-0005-0000-0000-00001A130000}"/>
    <cellStyle name="Normal 4 2 2 6 5 3 2" xfId="14826" xr:uid="{83AF6267-040C-4DCD-96CC-58F5A5684635}"/>
    <cellStyle name="Normal 4 2 2 6 5 4" xfId="10608" xr:uid="{A2FD6D77-4592-48EF-BB79-278593EF17CA}"/>
    <cellStyle name="Normal 4 2 2 6 6" xfId="2513" xr:uid="{00000000-0005-0000-0000-00001B130000}"/>
    <cellStyle name="Normal 4 2 2 6 6 2" xfId="6797" xr:uid="{00000000-0005-0000-0000-00001C130000}"/>
    <cellStyle name="Normal 4 2 2 6 6 2 2" xfId="15239" xr:uid="{CF859DA9-06E3-4543-B441-DD824FD0CE5F}"/>
    <cellStyle name="Normal 4 2 2 6 6 3" xfId="11021" xr:uid="{D15AA3C7-16B0-4117-96A6-D5E54FEF8DC0}"/>
    <cellStyle name="Normal 4 2 2 6 7" xfId="4732" xr:uid="{00000000-0005-0000-0000-00001D130000}"/>
    <cellStyle name="Normal 4 2 2 6 7 2" xfId="13174" xr:uid="{E275417F-6575-416B-A618-79722BF266D1}"/>
    <cellStyle name="Normal 4 2 2 6 8" xfId="8956" xr:uid="{8FDE4A0A-CD65-4AF9-BEB8-7980957675B3}"/>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A4620FAF-6AB1-4993-BD5D-00D7EB1E4838}"/>
    <cellStyle name="Normal 4 2 2 7 2 3" xfId="11499" xr:uid="{6C93F11B-787C-452C-8439-7A43286C22F0}"/>
    <cellStyle name="Normal 4 2 2 7 3" xfId="5130" xr:uid="{00000000-0005-0000-0000-000021130000}"/>
    <cellStyle name="Normal 4 2 2 7 3 2" xfId="13572" xr:uid="{24178AF0-5AF1-438E-8C25-5C4250A879AD}"/>
    <cellStyle name="Normal 4 2 2 7 4" xfId="9354" xr:uid="{0687DA7B-D5F9-4E3D-A307-2D418670C056}"/>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19445B73-33E2-4979-A4D8-C8BE6C440B9D}"/>
    <cellStyle name="Normal 4 2 2 8 2 3" xfId="11912" xr:uid="{E739B62E-7B84-4704-85E3-2A9A0DED131F}"/>
    <cellStyle name="Normal 4 2 2 8 3" xfId="5543" xr:uid="{00000000-0005-0000-0000-000025130000}"/>
    <cellStyle name="Normal 4 2 2 8 3 2" xfId="13985" xr:uid="{27DE5D49-275D-4C80-A62B-A0BA6BB3CA2A}"/>
    <cellStyle name="Normal 4 2 2 8 4" xfId="9767" xr:uid="{03A9C50C-E9F0-4573-B4D5-C357AD8164B8}"/>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34B2C41C-CE1B-4EFF-A484-CF100BE6D2AC}"/>
    <cellStyle name="Normal 4 2 2 9 2 3" xfId="12325" xr:uid="{500B6D2E-67F3-417B-B04D-79F45F9F51C5}"/>
    <cellStyle name="Normal 4 2 2 9 3" xfId="5956" xr:uid="{00000000-0005-0000-0000-000029130000}"/>
    <cellStyle name="Normal 4 2 2 9 3 2" xfId="14398" xr:uid="{F5BA9668-43E1-4A27-8DA3-512124C256D2}"/>
    <cellStyle name="Normal 4 2 2 9 4" xfId="10180" xr:uid="{3B935FC6-E61F-4D6F-943E-B00459215D8F}"/>
    <cellStyle name="Normal 4 2 3" xfId="354" xr:uid="{00000000-0005-0000-0000-00002A130000}"/>
    <cellStyle name="Normal 4 2 4" xfId="355" xr:uid="{00000000-0005-0000-0000-00002B130000}"/>
    <cellStyle name="Normal 4 2 4 10" xfId="4733" xr:uid="{00000000-0005-0000-0000-00002C130000}"/>
    <cellStyle name="Normal 4 2 4 10 2" xfId="13175" xr:uid="{FA4FB369-7896-40B4-B76C-F2C0A7B5E3D6}"/>
    <cellStyle name="Normal 4 2 4 11" xfId="8957" xr:uid="{2984872E-5A63-4131-8F21-126F8C4618AF}"/>
    <cellStyle name="Normal 4 2 4 2" xfId="356" xr:uid="{00000000-0005-0000-0000-00002D130000}"/>
    <cellStyle name="Normal 4 2 4 2 10" xfId="8958" xr:uid="{D8325098-B137-490F-94EA-E4FBE0FEC95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75CEE9AF-6BA9-4280-BB4B-B69E2A7AED84}"/>
    <cellStyle name="Normal 4 2 4 2 2 2 2 2 3" xfId="11518" xr:uid="{CAD98C38-1562-46C2-BF00-B6402CBDAC93}"/>
    <cellStyle name="Normal 4 2 4 2 2 2 2 3" xfId="5149" xr:uid="{00000000-0005-0000-0000-000033130000}"/>
    <cellStyle name="Normal 4 2 4 2 2 2 2 3 2" xfId="13591" xr:uid="{90106434-1858-487A-9E22-BB6F96A829E8}"/>
    <cellStyle name="Normal 4 2 4 2 2 2 2 4" xfId="9373" xr:uid="{C96FEE58-6365-4404-B1AF-8B615833739E}"/>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E39E4BED-BDD1-4D5F-90D1-D6B3AF60734C}"/>
    <cellStyle name="Normal 4 2 4 2 2 2 3 2 3" xfId="11931" xr:uid="{1C3801F5-FC73-46CF-9706-2EE4F40A19CF}"/>
    <cellStyle name="Normal 4 2 4 2 2 2 3 3" xfId="5562" xr:uid="{00000000-0005-0000-0000-000037130000}"/>
    <cellStyle name="Normal 4 2 4 2 2 2 3 3 2" xfId="14004" xr:uid="{2F9EAA50-F499-4587-ADD0-65915FBBC182}"/>
    <cellStyle name="Normal 4 2 4 2 2 2 3 4" xfId="9786" xr:uid="{8832D51D-6DE1-4E2A-ADD2-1118F3CA1EBB}"/>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67700F26-8E66-4E6F-87FD-F2BA82558B9D}"/>
    <cellStyle name="Normal 4 2 4 2 2 2 4 2 3" xfId="12344" xr:uid="{10466F7D-C1DD-49CD-8D2E-BA5575662237}"/>
    <cellStyle name="Normal 4 2 4 2 2 2 4 3" xfId="5975" xr:uid="{00000000-0005-0000-0000-00003B130000}"/>
    <cellStyle name="Normal 4 2 4 2 2 2 4 3 2" xfId="14417" xr:uid="{D4F07AF7-E5C9-46CA-8E9D-8B4DE22086C5}"/>
    <cellStyle name="Normal 4 2 4 2 2 2 4 4" xfId="10199" xr:uid="{07B4F72A-7782-4153-B67D-7982080BBE4A}"/>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8290A9E6-EB1C-4596-90D1-5D197E3D0725}"/>
    <cellStyle name="Normal 4 2 4 2 2 2 5 2 3" xfId="12757" xr:uid="{90769CFA-5AC6-406C-A650-6334B2BF852B}"/>
    <cellStyle name="Normal 4 2 4 2 2 2 5 3" xfId="6388" xr:uid="{00000000-0005-0000-0000-00003F130000}"/>
    <cellStyle name="Normal 4 2 4 2 2 2 5 3 2" xfId="14830" xr:uid="{F056654F-D889-416B-B509-D59BD34DB8E3}"/>
    <cellStyle name="Normal 4 2 4 2 2 2 5 4" xfId="10612" xr:uid="{D5CEABE3-7804-4016-8A18-AC4304C174A4}"/>
    <cellStyle name="Normal 4 2 4 2 2 2 6" xfId="2517" xr:uid="{00000000-0005-0000-0000-000040130000}"/>
    <cellStyle name="Normal 4 2 4 2 2 2 6 2" xfId="6801" xr:uid="{00000000-0005-0000-0000-000041130000}"/>
    <cellStyle name="Normal 4 2 4 2 2 2 6 2 2" xfId="15243" xr:uid="{868435B1-E263-40CD-B37E-8F2BBD099F0B}"/>
    <cellStyle name="Normal 4 2 4 2 2 2 6 3" xfId="11025" xr:uid="{A2A5A90F-87B7-4D86-87C8-C6A93FCC0112}"/>
    <cellStyle name="Normal 4 2 4 2 2 2 7" xfId="4736" xr:uid="{00000000-0005-0000-0000-000042130000}"/>
    <cellStyle name="Normal 4 2 4 2 2 2 7 2" xfId="13178" xr:uid="{BDBA5D9C-D19F-49ED-B7CA-76518346FA1C}"/>
    <cellStyle name="Normal 4 2 4 2 2 2 8" xfId="8960" xr:uid="{61AB0D33-6393-46D9-95BF-69DC80CF9A1E}"/>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D8559B23-4B84-4B39-BE9E-97FEE74F078F}"/>
    <cellStyle name="Normal 4 2 4 2 2 3 2 3" xfId="11517" xr:uid="{C90662D2-02F6-4BB0-8D9A-BC701551CD8B}"/>
    <cellStyle name="Normal 4 2 4 2 2 3 3" xfId="5148" xr:uid="{00000000-0005-0000-0000-000046130000}"/>
    <cellStyle name="Normal 4 2 4 2 2 3 3 2" xfId="13590" xr:uid="{31EE8222-FAE6-4676-B648-0527BAB34481}"/>
    <cellStyle name="Normal 4 2 4 2 2 3 4" xfId="9372" xr:uid="{B7B3D4E5-6E3C-4F71-91E6-44167C4136FF}"/>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05A3036F-A830-4E24-BDD3-95BC6501898F}"/>
    <cellStyle name="Normal 4 2 4 2 2 4 2 3" xfId="11930" xr:uid="{3E5DB7DD-D6B9-4583-98D6-67B8FC7E64C1}"/>
    <cellStyle name="Normal 4 2 4 2 2 4 3" xfId="5561" xr:uid="{00000000-0005-0000-0000-00004A130000}"/>
    <cellStyle name="Normal 4 2 4 2 2 4 3 2" xfId="14003" xr:uid="{6E94D2B3-FAA0-416C-87AE-BC071CB5DA98}"/>
    <cellStyle name="Normal 4 2 4 2 2 4 4" xfId="9785" xr:uid="{C232F58D-0584-4526-8427-FDB1694D0C18}"/>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7A608B7F-DF74-48A6-91BC-A253382AAFF7}"/>
    <cellStyle name="Normal 4 2 4 2 2 5 2 3" xfId="12343" xr:uid="{F6BD0EF4-1378-4F99-A0C4-A6EB2B921C00}"/>
    <cellStyle name="Normal 4 2 4 2 2 5 3" xfId="5974" xr:uid="{00000000-0005-0000-0000-00004E130000}"/>
    <cellStyle name="Normal 4 2 4 2 2 5 3 2" xfId="14416" xr:uid="{06962D0C-A618-4E4C-91E5-6D098F4FBD96}"/>
    <cellStyle name="Normal 4 2 4 2 2 5 4" xfId="10198" xr:uid="{D7A8720E-A80F-4C5B-96CF-4B423CF3B721}"/>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36B270BF-2C83-41FD-954A-3C3DA63D68A3}"/>
    <cellStyle name="Normal 4 2 4 2 2 6 2 3" xfId="12756" xr:uid="{B2B2CD76-C4AA-465E-A3E2-3C098A477E9E}"/>
    <cellStyle name="Normal 4 2 4 2 2 6 3" xfId="6387" xr:uid="{00000000-0005-0000-0000-000052130000}"/>
    <cellStyle name="Normal 4 2 4 2 2 6 3 2" xfId="14829" xr:uid="{D25BBF6B-FCF3-4730-AEEA-E6B948FA3EFB}"/>
    <cellStyle name="Normal 4 2 4 2 2 6 4" xfId="10611" xr:uid="{16265F38-6914-4F82-85AF-8825AF5D21FB}"/>
    <cellStyle name="Normal 4 2 4 2 2 7" xfId="2516" xr:uid="{00000000-0005-0000-0000-000053130000}"/>
    <cellStyle name="Normal 4 2 4 2 2 7 2" xfId="6800" xr:uid="{00000000-0005-0000-0000-000054130000}"/>
    <cellStyle name="Normal 4 2 4 2 2 7 2 2" xfId="15242" xr:uid="{A60008E3-7944-4046-814B-9576BBD31C2E}"/>
    <cellStyle name="Normal 4 2 4 2 2 7 3" xfId="11024" xr:uid="{0C8FB8A8-6B34-4FFF-8B74-229650A99704}"/>
    <cellStyle name="Normal 4 2 4 2 2 8" xfId="4735" xr:uid="{00000000-0005-0000-0000-000055130000}"/>
    <cellStyle name="Normal 4 2 4 2 2 8 2" xfId="13177" xr:uid="{AE7402D0-7EB8-4F4B-AE13-B3FFFE8881AC}"/>
    <cellStyle name="Normal 4 2 4 2 2 9" xfId="8959" xr:uid="{32D43A4D-DA58-49DA-AEE5-1B3642293B55}"/>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B5527926-8182-45BC-B18A-C93603A5CBF9}"/>
    <cellStyle name="Normal 4 2 4 2 3 2 2 3" xfId="11519" xr:uid="{F01072BD-2083-48DD-A68A-9CC22594705A}"/>
    <cellStyle name="Normal 4 2 4 2 3 2 3" xfId="5150" xr:uid="{00000000-0005-0000-0000-00005A130000}"/>
    <cellStyle name="Normal 4 2 4 2 3 2 3 2" xfId="13592" xr:uid="{EB9B40D3-2C69-4230-AC57-390542F64422}"/>
    <cellStyle name="Normal 4 2 4 2 3 2 4" xfId="9374" xr:uid="{AD8F39C6-0A1A-4114-A196-D74341EF565B}"/>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ADB883A9-7E21-4231-AC17-24FE122A2C20}"/>
    <cellStyle name="Normal 4 2 4 2 3 3 2 3" xfId="11932" xr:uid="{A7ADC20C-3DC7-4498-9022-09BD500442A9}"/>
    <cellStyle name="Normal 4 2 4 2 3 3 3" xfId="5563" xr:uid="{00000000-0005-0000-0000-00005E130000}"/>
    <cellStyle name="Normal 4 2 4 2 3 3 3 2" xfId="14005" xr:uid="{193C9A56-EDF2-4795-A98C-53DFF9AFC884}"/>
    <cellStyle name="Normal 4 2 4 2 3 3 4" xfId="9787" xr:uid="{3D6FF619-701C-4BC2-94E6-00DF566F7D07}"/>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F821EDF8-2CA3-4D71-90B6-262F811F80C3}"/>
    <cellStyle name="Normal 4 2 4 2 3 4 2 3" xfId="12345" xr:uid="{BF7725E3-2543-48B9-B450-FD5C69E4DEF1}"/>
    <cellStyle name="Normal 4 2 4 2 3 4 3" xfId="5976" xr:uid="{00000000-0005-0000-0000-000062130000}"/>
    <cellStyle name="Normal 4 2 4 2 3 4 3 2" xfId="14418" xr:uid="{490CE098-AFDC-4795-B126-8F5A0996EF15}"/>
    <cellStyle name="Normal 4 2 4 2 3 4 4" xfId="10200" xr:uid="{D5AFE341-77F2-48CE-A81B-8384DE33AD83}"/>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3ED5EE14-20CF-4293-8747-83C1195AE68C}"/>
    <cellStyle name="Normal 4 2 4 2 3 5 2 3" xfId="12758" xr:uid="{BE81C0E8-71CD-4AEF-9D6A-B8EFB9E41509}"/>
    <cellStyle name="Normal 4 2 4 2 3 5 3" xfId="6389" xr:uid="{00000000-0005-0000-0000-000066130000}"/>
    <cellStyle name="Normal 4 2 4 2 3 5 3 2" xfId="14831" xr:uid="{8E606BEE-DCAE-44AB-8049-A5E736D3D799}"/>
    <cellStyle name="Normal 4 2 4 2 3 5 4" xfId="10613" xr:uid="{3661CFD9-EE6A-4129-95CD-B29B071E70FD}"/>
    <cellStyle name="Normal 4 2 4 2 3 6" xfId="2518" xr:uid="{00000000-0005-0000-0000-000067130000}"/>
    <cellStyle name="Normal 4 2 4 2 3 6 2" xfId="6802" xr:uid="{00000000-0005-0000-0000-000068130000}"/>
    <cellStyle name="Normal 4 2 4 2 3 6 2 2" xfId="15244" xr:uid="{74E57FCE-5970-4EC9-9739-DA963E9841B3}"/>
    <cellStyle name="Normal 4 2 4 2 3 6 3" xfId="11026" xr:uid="{7C4E72AE-2081-4D62-8B12-16CF6819613A}"/>
    <cellStyle name="Normal 4 2 4 2 3 7" xfId="4737" xr:uid="{00000000-0005-0000-0000-000069130000}"/>
    <cellStyle name="Normal 4 2 4 2 3 7 2" xfId="13179" xr:uid="{4AC257C1-475A-40AD-9389-ED084FEB7AC3}"/>
    <cellStyle name="Normal 4 2 4 2 3 8" xfId="8961" xr:uid="{76408F55-25F0-4131-A9DC-14E6C7022FF7}"/>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024A9900-D70D-45A5-9D47-C86714420AA1}"/>
    <cellStyle name="Normal 4 2 4 2 4 2 3" xfId="11516" xr:uid="{E46D0189-BADD-4462-B427-25C03C5B83CD}"/>
    <cellStyle name="Normal 4 2 4 2 4 3" xfId="5147" xr:uid="{00000000-0005-0000-0000-00006D130000}"/>
    <cellStyle name="Normal 4 2 4 2 4 3 2" xfId="13589" xr:uid="{F9E46C5B-23B1-4448-92F4-E3428EE43D71}"/>
    <cellStyle name="Normal 4 2 4 2 4 4" xfId="9371" xr:uid="{564C6525-3D95-4EAB-9C5D-01E57EF0D539}"/>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47C70B22-AA5A-4047-8403-E274F0F71703}"/>
    <cellStyle name="Normal 4 2 4 2 5 2 3" xfId="11929" xr:uid="{C5AB2EDB-7512-480C-BBC6-B595AB276371}"/>
    <cellStyle name="Normal 4 2 4 2 5 3" xfId="5560" xr:uid="{00000000-0005-0000-0000-000071130000}"/>
    <cellStyle name="Normal 4 2 4 2 5 3 2" xfId="14002" xr:uid="{36A3A2FF-32F8-4FBD-B823-F519D88FD3F5}"/>
    <cellStyle name="Normal 4 2 4 2 5 4" xfId="9784" xr:uid="{1BFA1110-2E11-4712-A45D-A222F982DED1}"/>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823A39B5-3CB3-4DE7-9F37-43B71F242354}"/>
    <cellStyle name="Normal 4 2 4 2 6 2 3" xfId="12342" xr:uid="{F35BA9EC-6E31-4D5C-B24E-12D32431118F}"/>
    <cellStyle name="Normal 4 2 4 2 6 3" xfId="5973" xr:uid="{00000000-0005-0000-0000-000075130000}"/>
    <cellStyle name="Normal 4 2 4 2 6 3 2" xfId="14415" xr:uid="{CBF15D86-95BC-4406-8E4A-8354B93A523E}"/>
    <cellStyle name="Normal 4 2 4 2 6 4" xfId="10197" xr:uid="{A6184DD9-A917-4416-A493-713CB7181651}"/>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61F9EBC9-D242-4BB5-AA27-0EDF3A723762}"/>
    <cellStyle name="Normal 4 2 4 2 7 2 3" xfId="12755" xr:uid="{F57497C6-5E6C-4C34-822B-C25A61358A29}"/>
    <cellStyle name="Normal 4 2 4 2 7 3" xfId="6386" xr:uid="{00000000-0005-0000-0000-000079130000}"/>
    <cellStyle name="Normal 4 2 4 2 7 3 2" xfId="14828" xr:uid="{FD2F6B0F-C8DC-44D7-B67A-1043195465F7}"/>
    <cellStyle name="Normal 4 2 4 2 7 4" xfId="10610" xr:uid="{F160BC71-1DF4-40CD-B26D-2FAC576ED144}"/>
    <cellStyle name="Normal 4 2 4 2 8" xfId="2515" xr:uid="{00000000-0005-0000-0000-00007A130000}"/>
    <cellStyle name="Normal 4 2 4 2 8 2" xfId="6799" xr:uid="{00000000-0005-0000-0000-00007B130000}"/>
    <cellStyle name="Normal 4 2 4 2 8 2 2" xfId="15241" xr:uid="{6B1D8636-1688-491E-972F-9C6DF5A2AA7D}"/>
    <cellStyle name="Normal 4 2 4 2 8 3" xfId="11023" xr:uid="{1C094199-14D5-493A-ACC2-42984D5B51EC}"/>
    <cellStyle name="Normal 4 2 4 2 9" xfId="4734" xr:uid="{00000000-0005-0000-0000-00007C130000}"/>
    <cellStyle name="Normal 4 2 4 2 9 2" xfId="13176" xr:uid="{C589763E-D8FC-4299-A056-2409C12C5E68}"/>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82136BAD-2DC5-4F6A-8310-963EFD994C12}"/>
    <cellStyle name="Normal 4 2 4 3 2 2 2 3" xfId="11521" xr:uid="{C1088C35-860F-4BCF-B71B-C01EDFACB6C4}"/>
    <cellStyle name="Normal 4 2 4 3 2 2 3" xfId="5152" xr:uid="{00000000-0005-0000-0000-000082130000}"/>
    <cellStyle name="Normal 4 2 4 3 2 2 3 2" xfId="13594" xr:uid="{C200F6F9-B3AC-4831-B831-56307C50EB73}"/>
    <cellStyle name="Normal 4 2 4 3 2 2 4" xfId="9376" xr:uid="{69F0DA93-82B8-4215-979F-5D64A403CDAB}"/>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96FBA463-F8DF-40DC-9719-6B5FD2C3B7FE}"/>
    <cellStyle name="Normal 4 2 4 3 2 3 2 3" xfId="11934" xr:uid="{F165F7A3-CFC6-40FA-950F-D90706175625}"/>
    <cellStyle name="Normal 4 2 4 3 2 3 3" xfId="5565" xr:uid="{00000000-0005-0000-0000-000086130000}"/>
    <cellStyle name="Normal 4 2 4 3 2 3 3 2" xfId="14007" xr:uid="{359EA644-2C52-4A37-B638-E5BA5160E4C2}"/>
    <cellStyle name="Normal 4 2 4 3 2 3 4" xfId="9789" xr:uid="{8501ED82-CE7A-4DEC-B1BF-F7D7AC00CAFF}"/>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B9E46563-FA5B-4BA7-A3AA-DE3ABFD145BC}"/>
    <cellStyle name="Normal 4 2 4 3 2 4 2 3" xfId="12347" xr:uid="{8EBE718C-E772-419B-8F8C-C99231556F07}"/>
    <cellStyle name="Normal 4 2 4 3 2 4 3" xfId="5978" xr:uid="{00000000-0005-0000-0000-00008A130000}"/>
    <cellStyle name="Normal 4 2 4 3 2 4 3 2" xfId="14420" xr:uid="{310913F5-20D2-4C99-83EF-D49F37157F4A}"/>
    <cellStyle name="Normal 4 2 4 3 2 4 4" xfId="10202" xr:uid="{D67F2A6B-568A-4CF2-B859-699FDB6DFBC5}"/>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21ED9514-DC80-4FCE-8728-970402245408}"/>
    <cellStyle name="Normal 4 2 4 3 2 5 2 3" xfId="12760" xr:uid="{8B3ADDA7-BAEB-4628-BA3F-C9534894717B}"/>
    <cellStyle name="Normal 4 2 4 3 2 5 3" xfId="6391" xr:uid="{00000000-0005-0000-0000-00008E130000}"/>
    <cellStyle name="Normal 4 2 4 3 2 5 3 2" xfId="14833" xr:uid="{F5A1F612-40BF-47E4-9619-8BF9EC59B86A}"/>
    <cellStyle name="Normal 4 2 4 3 2 5 4" xfId="10615" xr:uid="{AA45C831-4AE6-4863-8D22-EC5A256E7CCC}"/>
    <cellStyle name="Normal 4 2 4 3 2 6" xfId="2520" xr:uid="{00000000-0005-0000-0000-00008F130000}"/>
    <cellStyle name="Normal 4 2 4 3 2 6 2" xfId="6804" xr:uid="{00000000-0005-0000-0000-000090130000}"/>
    <cellStyle name="Normal 4 2 4 3 2 6 2 2" xfId="15246" xr:uid="{C5278082-C5BE-49A4-8C94-43DE6CE9427C}"/>
    <cellStyle name="Normal 4 2 4 3 2 6 3" xfId="11028" xr:uid="{71DD21AB-B83E-4206-89CE-A6B757EEEE7F}"/>
    <cellStyle name="Normal 4 2 4 3 2 7" xfId="4739" xr:uid="{00000000-0005-0000-0000-000091130000}"/>
    <cellStyle name="Normal 4 2 4 3 2 7 2" xfId="13181" xr:uid="{B5083DD2-ADAB-45C0-9522-21277FCC8620}"/>
    <cellStyle name="Normal 4 2 4 3 2 8" xfId="8963" xr:uid="{D75CED65-1E51-436D-96F5-EDCAD5ED0135}"/>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4B55E9A8-AB81-4F25-A54C-6C1DA9A6370B}"/>
    <cellStyle name="Normal 4 2 4 3 3 2 3" xfId="11520" xr:uid="{5D728AB3-7A33-4730-9D5A-46F99886C356}"/>
    <cellStyle name="Normal 4 2 4 3 3 3" xfId="5151" xr:uid="{00000000-0005-0000-0000-000095130000}"/>
    <cellStyle name="Normal 4 2 4 3 3 3 2" xfId="13593" xr:uid="{048CEBE8-CB87-4F03-9D3F-3BC60672CDA2}"/>
    <cellStyle name="Normal 4 2 4 3 3 4" xfId="9375" xr:uid="{9B8F8E47-85EF-4148-9CF6-D1E54289364A}"/>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DAD0D68A-BB49-4839-9B27-9BAE15D817B8}"/>
    <cellStyle name="Normal 4 2 4 3 4 2 3" xfId="11933" xr:uid="{F3F3F1F1-1BF0-4CF9-86C9-9089DC27DEBF}"/>
    <cellStyle name="Normal 4 2 4 3 4 3" xfId="5564" xr:uid="{00000000-0005-0000-0000-000099130000}"/>
    <cellStyle name="Normal 4 2 4 3 4 3 2" xfId="14006" xr:uid="{A42EDAA7-9DC2-435C-8EB4-7CF954E6674D}"/>
    <cellStyle name="Normal 4 2 4 3 4 4" xfId="9788" xr:uid="{ED2D04F8-9C58-4E96-9E10-821284FB6C68}"/>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2A336635-EBE6-4895-9A3C-180CD2DE963B}"/>
    <cellStyle name="Normal 4 2 4 3 5 2 3" xfId="12346" xr:uid="{19AA20AE-9CF7-4FBF-8DD6-EFB0FADB9007}"/>
    <cellStyle name="Normal 4 2 4 3 5 3" xfId="5977" xr:uid="{00000000-0005-0000-0000-00009D130000}"/>
    <cellStyle name="Normal 4 2 4 3 5 3 2" xfId="14419" xr:uid="{E97CC63B-54EE-4625-98DC-FBECB0BAD58B}"/>
    <cellStyle name="Normal 4 2 4 3 5 4" xfId="10201" xr:uid="{D01E3BC4-312B-4C64-ACF0-D490D6A5CF95}"/>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3BC78EFC-7B63-478F-AD76-E50AE8250112}"/>
    <cellStyle name="Normal 4 2 4 3 6 2 3" xfId="12759" xr:uid="{53BDF959-E373-4624-BE7F-712017499C1F}"/>
    <cellStyle name="Normal 4 2 4 3 6 3" xfId="6390" xr:uid="{00000000-0005-0000-0000-0000A1130000}"/>
    <cellStyle name="Normal 4 2 4 3 6 3 2" xfId="14832" xr:uid="{0A6AC582-12E6-4D62-BC6D-24FC6FBDFE96}"/>
    <cellStyle name="Normal 4 2 4 3 6 4" xfId="10614" xr:uid="{51BD03C1-1D7D-4B2A-8CC9-67E30B28D560}"/>
    <cellStyle name="Normal 4 2 4 3 7" xfId="2519" xr:uid="{00000000-0005-0000-0000-0000A2130000}"/>
    <cellStyle name="Normal 4 2 4 3 7 2" xfId="6803" xr:uid="{00000000-0005-0000-0000-0000A3130000}"/>
    <cellStyle name="Normal 4 2 4 3 7 2 2" xfId="15245" xr:uid="{656CB789-F3D4-4E70-A56D-4D86D14113C1}"/>
    <cellStyle name="Normal 4 2 4 3 7 3" xfId="11027" xr:uid="{A3984527-0645-4149-8F41-E9BD662BF413}"/>
    <cellStyle name="Normal 4 2 4 3 8" xfId="4738" xr:uid="{00000000-0005-0000-0000-0000A4130000}"/>
    <cellStyle name="Normal 4 2 4 3 8 2" xfId="13180" xr:uid="{A7621356-F4AE-43DD-9435-E49CDB3F5360}"/>
    <cellStyle name="Normal 4 2 4 3 9" xfId="8962" xr:uid="{71A376E6-6850-4F4F-B0A7-3145690DAD42}"/>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8BB95E33-952B-4E25-B8A6-0154F95819FE}"/>
    <cellStyle name="Normal 4 2 4 4 2 2 3" xfId="11522" xr:uid="{2787BF1E-2B3E-480D-A964-75899D1FDAD5}"/>
    <cellStyle name="Normal 4 2 4 4 2 3" xfId="5153" xr:uid="{00000000-0005-0000-0000-0000A9130000}"/>
    <cellStyle name="Normal 4 2 4 4 2 3 2" xfId="13595" xr:uid="{04797468-EBCE-4192-92A4-197C54D68B0C}"/>
    <cellStyle name="Normal 4 2 4 4 2 4" xfId="9377" xr:uid="{D8260DD2-87FF-48D8-8C49-EB8D805A8349}"/>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3018C737-5095-4863-B41A-2ED2035B826C}"/>
    <cellStyle name="Normal 4 2 4 4 3 2 3" xfId="11935" xr:uid="{F66DEFAE-8F6E-489C-8E1D-D37F81D3FF60}"/>
    <cellStyle name="Normal 4 2 4 4 3 3" xfId="5566" xr:uid="{00000000-0005-0000-0000-0000AD130000}"/>
    <cellStyle name="Normal 4 2 4 4 3 3 2" xfId="14008" xr:uid="{5F475D7F-56FC-4398-8E58-9EB5D60A2376}"/>
    <cellStyle name="Normal 4 2 4 4 3 4" xfId="9790" xr:uid="{9F71D305-D468-4E99-BF2C-5CE3B0D5DC46}"/>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8ABE3735-218B-4909-82A5-76615877323A}"/>
    <cellStyle name="Normal 4 2 4 4 4 2 3" xfId="12348" xr:uid="{E0A16117-30F9-4757-B5A5-28D5CBB8E79F}"/>
    <cellStyle name="Normal 4 2 4 4 4 3" xfId="5979" xr:uid="{00000000-0005-0000-0000-0000B1130000}"/>
    <cellStyle name="Normal 4 2 4 4 4 3 2" xfId="14421" xr:uid="{8B0FE5C7-383C-4920-9E9B-B8769A3E98FE}"/>
    <cellStyle name="Normal 4 2 4 4 4 4" xfId="10203" xr:uid="{BB859B83-1CD5-4191-AC69-B3DB8B5067AB}"/>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572F4B97-1B67-4399-9A2D-B94E1ADB2C8B}"/>
    <cellStyle name="Normal 4 2 4 4 5 2 3" xfId="12761" xr:uid="{F3F9CDA0-5D2C-4C0A-B01E-0B3925F1FDAC}"/>
    <cellStyle name="Normal 4 2 4 4 5 3" xfId="6392" xr:uid="{00000000-0005-0000-0000-0000B5130000}"/>
    <cellStyle name="Normal 4 2 4 4 5 3 2" xfId="14834" xr:uid="{40143AFB-7ADD-4BC4-80AD-FD4072A0E30D}"/>
    <cellStyle name="Normal 4 2 4 4 5 4" xfId="10616" xr:uid="{2C51C9FB-B017-4743-9571-3899D151F3A7}"/>
    <cellStyle name="Normal 4 2 4 4 6" xfId="2521" xr:uid="{00000000-0005-0000-0000-0000B6130000}"/>
    <cellStyle name="Normal 4 2 4 4 6 2" xfId="6805" xr:uid="{00000000-0005-0000-0000-0000B7130000}"/>
    <cellStyle name="Normal 4 2 4 4 6 2 2" xfId="15247" xr:uid="{2775C711-AA64-48F3-8689-C049856BD72C}"/>
    <cellStyle name="Normal 4 2 4 4 6 3" xfId="11029" xr:uid="{3BE15143-04CE-4D91-95F1-F84D6D90CBA2}"/>
    <cellStyle name="Normal 4 2 4 4 7" xfId="4740" xr:uid="{00000000-0005-0000-0000-0000B8130000}"/>
    <cellStyle name="Normal 4 2 4 4 7 2" xfId="13182" xr:uid="{98A64D37-4DB4-4069-9415-34CC76382596}"/>
    <cellStyle name="Normal 4 2 4 4 8" xfId="8964" xr:uid="{5C91A6FA-8968-4789-8601-85BAFC90A1A2}"/>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B4BAF397-D1DC-4976-B2DB-538FC03ECB9D}"/>
    <cellStyle name="Normal 4 2 4 5 2 3" xfId="11515" xr:uid="{0F9F24D6-7C0B-4C45-9DCC-5F33B1324A2E}"/>
    <cellStyle name="Normal 4 2 4 5 3" xfId="5146" xr:uid="{00000000-0005-0000-0000-0000BC130000}"/>
    <cellStyle name="Normal 4 2 4 5 3 2" xfId="13588" xr:uid="{D199B798-2695-4DDF-B27E-DEDCDA02C78F}"/>
    <cellStyle name="Normal 4 2 4 5 4" xfId="9370" xr:uid="{F7FDCE47-4EEC-4E82-BDA1-354978F72AA2}"/>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E7658EC3-5E79-4D0C-A415-DBE5E3C04F81}"/>
    <cellStyle name="Normal 4 2 4 6 2 3" xfId="11928" xr:uid="{7A4378D4-DAF0-4E05-B36F-96F566462601}"/>
    <cellStyle name="Normal 4 2 4 6 3" xfId="5559" xr:uid="{00000000-0005-0000-0000-0000C0130000}"/>
    <cellStyle name="Normal 4 2 4 6 3 2" xfId="14001" xr:uid="{6717CE6B-48B3-45B4-A646-A22F327745AF}"/>
    <cellStyle name="Normal 4 2 4 6 4" xfId="9783" xr:uid="{A0894E14-C70F-4231-A4E5-6BC85F09CD07}"/>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8B6D4E25-57F7-4C19-B0B0-4965679941F9}"/>
    <cellStyle name="Normal 4 2 4 7 2 3" xfId="12341" xr:uid="{519F7401-9DF8-49E7-A0B0-E7C8BF51887A}"/>
    <cellStyle name="Normal 4 2 4 7 3" xfId="5972" xr:uid="{00000000-0005-0000-0000-0000C4130000}"/>
    <cellStyle name="Normal 4 2 4 7 3 2" xfId="14414" xr:uid="{014712D3-B01D-4EF9-B74C-CCFFDC8B6216}"/>
    <cellStyle name="Normal 4 2 4 7 4" xfId="10196" xr:uid="{08EE6B22-ACF4-4C8A-982C-490834289AE9}"/>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49A664AC-C398-4D50-BA5B-2013C02F76D6}"/>
    <cellStyle name="Normal 4 2 4 8 2 3" xfId="12754" xr:uid="{AFB2DF21-3328-4B49-B899-613C41C5C229}"/>
    <cellStyle name="Normal 4 2 4 8 3" xfId="6385" xr:uid="{00000000-0005-0000-0000-0000C8130000}"/>
    <cellStyle name="Normal 4 2 4 8 3 2" xfId="14827" xr:uid="{2B201AC6-77AB-4FF2-94B4-B2C4299C1ED6}"/>
    <cellStyle name="Normal 4 2 4 8 4" xfId="10609" xr:uid="{C784AF1A-4516-462C-9D96-C2615EC4BB14}"/>
    <cellStyle name="Normal 4 2 4 9" xfId="2514" xr:uid="{00000000-0005-0000-0000-0000C9130000}"/>
    <cellStyle name="Normal 4 2 4 9 2" xfId="6798" xr:uid="{00000000-0005-0000-0000-0000CA130000}"/>
    <cellStyle name="Normal 4 2 4 9 2 2" xfId="15240" xr:uid="{1C999677-E3C3-4029-ADB4-4D3ACD518C92}"/>
    <cellStyle name="Normal 4 2 4 9 3" xfId="11022" xr:uid="{0BC2E6F3-7CAE-42FF-882D-3F60325E8E1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638AB134-FB9E-4A7F-98B0-7D5466C6BAAF}"/>
    <cellStyle name="Normal 4 2 5 2 2 2 3" xfId="11524" xr:uid="{41422480-F4D9-4D78-8099-7CF854E33F1B}"/>
    <cellStyle name="Normal 4 2 5 2 2 3" xfId="5155" xr:uid="{00000000-0005-0000-0000-0000D0130000}"/>
    <cellStyle name="Normal 4 2 5 2 2 3 2" xfId="13597" xr:uid="{6BBA2E78-4633-457E-A8E9-A32135D9541F}"/>
    <cellStyle name="Normal 4 2 5 2 2 4" xfId="9379" xr:uid="{CC69F404-782A-4079-B9F4-F708B40D30DC}"/>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50FAAF0E-06B1-41F1-AD69-4657493F2B00}"/>
    <cellStyle name="Normal 4 2 5 2 3 2 3" xfId="11937" xr:uid="{5E68EC33-AFBA-44D9-AC4C-571B1A62A8E6}"/>
    <cellStyle name="Normal 4 2 5 2 3 3" xfId="5568" xr:uid="{00000000-0005-0000-0000-0000D4130000}"/>
    <cellStyle name="Normal 4 2 5 2 3 3 2" xfId="14010" xr:uid="{5619FFB0-07AD-4517-8642-34B4D3A4E60F}"/>
    <cellStyle name="Normal 4 2 5 2 3 4" xfId="9792" xr:uid="{567AB8AA-DD93-487E-BA11-F3F07E0098B4}"/>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BA40F81C-B9A3-48AD-B7A8-2C94B2314599}"/>
    <cellStyle name="Normal 4 2 5 2 4 2 3" xfId="12350" xr:uid="{EC84FB7E-2275-44E5-AC6E-5D20427FF989}"/>
    <cellStyle name="Normal 4 2 5 2 4 3" xfId="5981" xr:uid="{00000000-0005-0000-0000-0000D8130000}"/>
    <cellStyle name="Normal 4 2 5 2 4 3 2" xfId="14423" xr:uid="{8EBAA8D5-CC26-4EC5-9A3E-E35ABB5B48AA}"/>
    <cellStyle name="Normal 4 2 5 2 4 4" xfId="10205" xr:uid="{C7536B48-99D5-45C6-B2F4-4035F5A9891F}"/>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37BA71AC-8B27-464C-8B38-8AF884CEE00A}"/>
    <cellStyle name="Normal 4 2 5 2 5 2 3" xfId="12763" xr:uid="{E5371E75-AC57-410B-8876-E628BFBA5B9E}"/>
    <cellStyle name="Normal 4 2 5 2 5 3" xfId="6394" xr:uid="{00000000-0005-0000-0000-0000DC130000}"/>
    <cellStyle name="Normal 4 2 5 2 5 3 2" xfId="14836" xr:uid="{DB47655A-769A-47E7-9CCD-E6DBAB13C0E6}"/>
    <cellStyle name="Normal 4 2 5 2 5 4" xfId="10618" xr:uid="{1F0B9809-C111-4804-9DAC-ADE5AE99E008}"/>
    <cellStyle name="Normal 4 2 5 2 6" xfId="2523" xr:uid="{00000000-0005-0000-0000-0000DD130000}"/>
    <cellStyle name="Normal 4 2 5 2 6 2" xfId="6807" xr:uid="{00000000-0005-0000-0000-0000DE130000}"/>
    <cellStyle name="Normal 4 2 5 2 6 2 2" xfId="15249" xr:uid="{B0C59AAE-6241-41B6-9531-16DB4A27309A}"/>
    <cellStyle name="Normal 4 2 5 2 6 3" xfId="11031" xr:uid="{868F0BC0-049B-4F60-9B46-C5450579B5B4}"/>
    <cellStyle name="Normal 4 2 5 2 7" xfId="4742" xr:uid="{00000000-0005-0000-0000-0000DF130000}"/>
    <cellStyle name="Normal 4 2 5 2 7 2" xfId="13184" xr:uid="{8ABA97C5-80A7-46FF-9AC0-F9C152DBE541}"/>
    <cellStyle name="Normal 4 2 5 2 8" xfId="8966" xr:uid="{398A62C6-8049-4884-8675-7802E1E3A045}"/>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98B16395-7A13-4DF9-B05C-A7BDDB724A1F}"/>
    <cellStyle name="Normal 4 2 5 3 2 3" xfId="11523" xr:uid="{A1B88C93-DE92-4BC1-8107-0CE9ADD926BB}"/>
    <cellStyle name="Normal 4 2 5 3 3" xfId="5154" xr:uid="{00000000-0005-0000-0000-0000E3130000}"/>
    <cellStyle name="Normal 4 2 5 3 3 2" xfId="13596" xr:uid="{7E729BCB-9479-4478-9A10-BB33D597FCFC}"/>
    <cellStyle name="Normal 4 2 5 3 4" xfId="9378" xr:uid="{6EB2CD40-04A9-4CB6-81DA-BF99301CCD4E}"/>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5760DF4B-C1C4-4674-9C1C-C3E47A38090B}"/>
    <cellStyle name="Normal 4 2 5 4 2 3" xfId="11936" xr:uid="{5A68EAA7-149A-47B1-8B85-CB29C1DAA090}"/>
    <cellStyle name="Normal 4 2 5 4 3" xfId="5567" xr:uid="{00000000-0005-0000-0000-0000E7130000}"/>
    <cellStyle name="Normal 4 2 5 4 3 2" xfId="14009" xr:uid="{084660AE-C59A-4877-B679-CF0B2268C480}"/>
    <cellStyle name="Normal 4 2 5 4 4" xfId="9791" xr:uid="{85C06BC5-A639-4462-96F8-ACFAD9F7B659}"/>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922FE7C7-1732-4356-A292-44677B16358D}"/>
    <cellStyle name="Normal 4 2 5 5 2 3" xfId="12349" xr:uid="{88F3B881-12B9-4894-831F-D91FCBFAA14B}"/>
    <cellStyle name="Normal 4 2 5 5 3" xfId="5980" xr:uid="{00000000-0005-0000-0000-0000EB130000}"/>
    <cellStyle name="Normal 4 2 5 5 3 2" xfId="14422" xr:uid="{09969EC5-81B0-4578-9BA4-F359D1F1DFFB}"/>
    <cellStyle name="Normal 4 2 5 5 4" xfId="10204" xr:uid="{E95D93C7-742C-4C19-8DC4-58BC2C0374BD}"/>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86B81060-5DC3-4D08-A33C-915363038713}"/>
    <cellStyle name="Normal 4 2 5 6 2 3" xfId="12762" xr:uid="{2B850FD0-59CF-4A8B-A5D6-171A96F69A97}"/>
    <cellStyle name="Normal 4 2 5 6 3" xfId="6393" xr:uid="{00000000-0005-0000-0000-0000EF130000}"/>
    <cellStyle name="Normal 4 2 5 6 3 2" xfId="14835" xr:uid="{40929990-22DE-42F6-9E7A-40E859723F55}"/>
    <cellStyle name="Normal 4 2 5 6 4" xfId="10617" xr:uid="{9EED0E79-2B08-4380-9777-F364A6C156A4}"/>
    <cellStyle name="Normal 4 2 5 7" xfId="2522" xr:uid="{00000000-0005-0000-0000-0000F0130000}"/>
    <cellStyle name="Normal 4 2 5 7 2" xfId="6806" xr:uid="{00000000-0005-0000-0000-0000F1130000}"/>
    <cellStyle name="Normal 4 2 5 7 2 2" xfId="15248" xr:uid="{AEBB0646-EE9E-43EC-8FD1-BFEF163FE227}"/>
    <cellStyle name="Normal 4 2 5 7 3" xfId="11030" xr:uid="{4D2D1753-18E2-4B89-AC0D-34F76F1E95C5}"/>
    <cellStyle name="Normal 4 2 5 8" xfId="4741" xr:uid="{00000000-0005-0000-0000-0000F2130000}"/>
    <cellStyle name="Normal 4 2 5 8 2" xfId="13183" xr:uid="{5599BA43-AEF3-4B1F-B2D6-2840265AFC3B}"/>
    <cellStyle name="Normal 4 2 5 9" xfId="8965" xr:uid="{79EA8353-4C46-4803-8D6F-AFCC4A5F9C28}"/>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EEA6E00C-B8FD-48DA-9323-3FDBA782F05C}"/>
    <cellStyle name="Normal 4 2 6 2 2 3" xfId="11525" xr:uid="{4C84C20A-FDB0-4B8E-B014-B4AB99A158E2}"/>
    <cellStyle name="Normal 4 2 6 2 3" xfId="5156" xr:uid="{00000000-0005-0000-0000-0000F7130000}"/>
    <cellStyle name="Normal 4 2 6 2 3 2" xfId="13598" xr:uid="{CAA951F6-2831-4BEC-9861-1DF1FA185FBF}"/>
    <cellStyle name="Normal 4 2 6 2 4" xfId="9380" xr:uid="{E27DBCD7-5F5A-4DF2-B0EF-A39776C017C2}"/>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7FDBE9E5-C769-4239-9496-777DDFBCD8CD}"/>
    <cellStyle name="Normal 4 2 6 3 2 3" xfId="11938" xr:uid="{0D578BF0-0645-4AF0-90A6-5C2E3EB36661}"/>
    <cellStyle name="Normal 4 2 6 3 3" xfId="5569" xr:uid="{00000000-0005-0000-0000-0000FB130000}"/>
    <cellStyle name="Normal 4 2 6 3 3 2" xfId="14011" xr:uid="{8F0CF00D-124A-4FC6-9403-C10967451C36}"/>
    <cellStyle name="Normal 4 2 6 3 4" xfId="9793" xr:uid="{A56DAF92-52F8-44BE-8A85-1356AECFA45D}"/>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A92039BF-E71C-4595-9469-464F4759F021}"/>
    <cellStyle name="Normal 4 2 6 4 2 3" xfId="12351" xr:uid="{72D0CEE9-8AC3-42EB-A35D-18A3C4EAC030}"/>
    <cellStyle name="Normal 4 2 6 4 3" xfId="5982" xr:uid="{00000000-0005-0000-0000-0000FF130000}"/>
    <cellStyle name="Normal 4 2 6 4 3 2" xfId="14424" xr:uid="{9B74B917-8FD5-4B9F-9619-CAFB4F03F62C}"/>
    <cellStyle name="Normal 4 2 6 4 4" xfId="10206" xr:uid="{DF4C84C4-86C1-4BA7-8295-4C18F5F04AA2}"/>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2947DEB1-0D83-4CD6-A35A-1351A737E51C}"/>
    <cellStyle name="Normal 4 2 6 5 2 3" xfId="12764" xr:uid="{0D51E65D-1824-438F-959F-339AF57628F0}"/>
    <cellStyle name="Normal 4 2 6 5 3" xfId="6395" xr:uid="{00000000-0005-0000-0000-000003140000}"/>
    <cellStyle name="Normal 4 2 6 5 3 2" xfId="14837" xr:uid="{94936984-F2A9-4340-9D52-BF5AEAF9A78F}"/>
    <cellStyle name="Normal 4 2 6 5 4" xfId="10619" xr:uid="{6775701A-9E52-4C38-AF89-33309ACAA24A}"/>
    <cellStyle name="Normal 4 2 6 6" xfId="2524" xr:uid="{00000000-0005-0000-0000-000004140000}"/>
    <cellStyle name="Normal 4 2 6 6 2" xfId="6808" xr:uid="{00000000-0005-0000-0000-000005140000}"/>
    <cellStyle name="Normal 4 2 6 6 2 2" xfId="15250" xr:uid="{465950C1-FA06-4C97-B14F-5993B3A61B6E}"/>
    <cellStyle name="Normal 4 2 6 6 3" xfId="11032" xr:uid="{9027C672-5377-427D-8339-2EFCBCF303D6}"/>
    <cellStyle name="Normal 4 2 6 7" xfId="4743" xr:uid="{00000000-0005-0000-0000-000006140000}"/>
    <cellStyle name="Normal 4 2 6 7 2" xfId="13185" xr:uid="{E5D5F1C2-3743-46F3-9982-24E02976A8E3}"/>
    <cellStyle name="Normal 4 2 6 8" xfId="8967" xr:uid="{8E9C5326-D836-4F63-913D-59A35870B48D}"/>
    <cellStyle name="Normal 4 3" xfId="366" xr:uid="{00000000-0005-0000-0000-000007140000}"/>
    <cellStyle name="Normal 4 3 10" xfId="8968" xr:uid="{FD65FCFA-16E8-4F6F-9306-92C084E920A2}"/>
    <cellStyle name="Normal 4 3 2" xfId="367" xr:uid="{00000000-0005-0000-0000-000008140000}"/>
    <cellStyle name="Normal 4 3 2 2" xfId="368" xr:uid="{00000000-0005-0000-0000-000009140000}"/>
    <cellStyle name="Normal 4 3 2 2 2" xfId="369" xr:uid="{00000000-0005-0000-0000-00000A140000}"/>
    <cellStyle name="Normal 4 3 2 2 2 10" xfId="8969" xr:uid="{8628B61E-0D9F-4C60-B44C-467A4CC1050C}"/>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970FEB9B-21B4-44E2-AF74-0F2C3D5539B6}"/>
    <cellStyle name="Normal 4 3 2 2 2 2 2 2 2 3" xfId="11529" xr:uid="{8C020569-343F-4E30-81D6-4837471C5669}"/>
    <cellStyle name="Normal 4 3 2 2 2 2 2 2 3" xfId="5160" xr:uid="{00000000-0005-0000-0000-000010140000}"/>
    <cellStyle name="Normal 4 3 2 2 2 2 2 2 3 2" xfId="13602" xr:uid="{241EE32E-F197-4602-8D24-05E36DC3D46C}"/>
    <cellStyle name="Normal 4 3 2 2 2 2 2 2 4" xfId="9384" xr:uid="{F173C6C5-22C3-4658-8C16-45B9032E30B7}"/>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0D5938C3-E499-4DF2-9BBB-0919D3580544}"/>
    <cellStyle name="Normal 4 3 2 2 2 2 2 3 2 3" xfId="11942" xr:uid="{CAFB44D1-CB1B-42E2-AD0D-4A2E68153892}"/>
    <cellStyle name="Normal 4 3 2 2 2 2 2 3 3" xfId="5573" xr:uid="{00000000-0005-0000-0000-000014140000}"/>
    <cellStyle name="Normal 4 3 2 2 2 2 2 3 3 2" xfId="14015" xr:uid="{D55F32B8-58FB-42D2-97EE-ADA4809FDFF1}"/>
    <cellStyle name="Normal 4 3 2 2 2 2 2 3 4" xfId="9797" xr:uid="{C52CC0AC-1DE7-41D2-8070-FBAA63C13887}"/>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7552BBA6-AEAE-444B-92F6-448780771F15}"/>
    <cellStyle name="Normal 4 3 2 2 2 2 2 4 2 3" xfId="12355" xr:uid="{4D298CA1-EEAF-494C-9D75-44AD29180C1D}"/>
    <cellStyle name="Normal 4 3 2 2 2 2 2 4 3" xfId="5986" xr:uid="{00000000-0005-0000-0000-000018140000}"/>
    <cellStyle name="Normal 4 3 2 2 2 2 2 4 3 2" xfId="14428" xr:uid="{CAE5521A-5A47-4803-B538-A8673CD3E66B}"/>
    <cellStyle name="Normal 4 3 2 2 2 2 2 4 4" xfId="10210" xr:uid="{271D7474-8F35-4B97-9780-19664C609173}"/>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94A9E009-3BBA-42D0-BE5A-DE621FAF6EF7}"/>
    <cellStyle name="Normal 4 3 2 2 2 2 2 5 2 3" xfId="12768" xr:uid="{4712D59C-98FC-4573-A576-73F87555B4FB}"/>
    <cellStyle name="Normal 4 3 2 2 2 2 2 5 3" xfId="6399" xr:uid="{00000000-0005-0000-0000-00001C140000}"/>
    <cellStyle name="Normal 4 3 2 2 2 2 2 5 3 2" xfId="14841" xr:uid="{2C26F198-6F22-447A-AB6E-95452238F07B}"/>
    <cellStyle name="Normal 4 3 2 2 2 2 2 5 4" xfId="10623" xr:uid="{77779AF7-90B2-450C-AA7E-DDBC289A074A}"/>
    <cellStyle name="Normal 4 3 2 2 2 2 2 6" xfId="2528" xr:uid="{00000000-0005-0000-0000-00001D140000}"/>
    <cellStyle name="Normal 4 3 2 2 2 2 2 6 2" xfId="6812" xr:uid="{00000000-0005-0000-0000-00001E140000}"/>
    <cellStyle name="Normal 4 3 2 2 2 2 2 6 2 2" xfId="15254" xr:uid="{6F0CA165-D1FC-4371-AED5-792A2A672BAA}"/>
    <cellStyle name="Normal 4 3 2 2 2 2 2 6 3" xfId="11036" xr:uid="{BD0E9B96-236A-473A-9FB1-0F31EE99CFDA}"/>
    <cellStyle name="Normal 4 3 2 2 2 2 2 7" xfId="4747" xr:uid="{00000000-0005-0000-0000-00001F140000}"/>
    <cellStyle name="Normal 4 3 2 2 2 2 2 7 2" xfId="13189" xr:uid="{5B367B14-0A3E-4A56-8605-329621CAB6B3}"/>
    <cellStyle name="Normal 4 3 2 2 2 2 2 8" xfId="8971" xr:uid="{24D846F7-56E8-43EC-9D98-5D9B9A6AE8F9}"/>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91F51285-A843-4C1E-998C-7F42010C6A7C}"/>
    <cellStyle name="Normal 4 3 2 2 2 2 3 2 3" xfId="11528" xr:uid="{BF837DA9-27DE-44C4-B287-CE68DD7F6C4B}"/>
    <cellStyle name="Normal 4 3 2 2 2 2 3 3" xfId="5159" xr:uid="{00000000-0005-0000-0000-000023140000}"/>
    <cellStyle name="Normal 4 3 2 2 2 2 3 3 2" xfId="13601" xr:uid="{30F937CA-1543-4EF7-B9B7-3A54A59535B9}"/>
    <cellStyle name="Normal 4 3 2 2 2 2 3 4" xfId="9383" xr:uid="{F9A81FD4-D9D2-4014-9B22-D05CEAAA75D5}"/>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B8E8A9D1-135D-464C-90B0-0A00CAB97A91}"/>
    <cellStyle name="Normal 4 3 2 2 2 2 4 2 3" xfId="11941" xr:uid="{F9F15C62-2C3E-4154-8056-4398063C438D}"/>
    <cellStyle name="Normal 4 3 2 2 2 2 4 3" xfId="5572" xr:uid="{00000000-0005-0000-0000-000027140000}"/>
    <cellStyle name="Normal 4 3 2 2 2 2 4 3 2" xfId="14014" xr:uid="{BAE0E0AB-A95E-47FE-B0EF-553E9DB905B7}"/>
    <cellStyle name="Normal 4 3 2 2 2 2 4 4" xfId="9796" xr:uid="{8888F39E-66A2-4F37-AA09-A673C20781C7}"/>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7D0C5844-18BF-44D9-A072-6B460A61881B}"/>
    <cellStyle name="Normal 4 3 2 2 2 2 5 2 3" xfId="12354" xr:uid="{1727903B-97F9-4CF7-A5E5-06BCA860F11B}"/>
    <cellStyle name="Normal 4 3 2 2 2 2 5 3" xfId="5985" xr:uid="{00000000-0005-0000-0000-00002B140000}"/>
    <cellStyle name="Normal 4 3 2 2 2 2 5 3 2" xfId="14427" xr:uid="{B5BFAADB-1A21-43B6-BCD0-9352DAEAE1FA}"/>
    <cellStyle name="Normal 4 3 2 2 2 2 5 4" xfId="10209" xr:uid="{33158314-E404-4DAD-A094-8A09866A1CB5}"/>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3E75D3BE-2778-4FA5-B247-6594B7AB145A}"/>
    <cellStyle name="Normal 4 3 2 2 2 2 6 2 3" xfId="12767" xr:uid="{FA787F16-1A19-42A8-819C-48CC800DFD10}"/>
    <cellStyle name="Normal 4 3 2 2 2 2 6 3" xfId="6398" xr:uid="{00000000-0005-0000-0000-00002F140000}"/>
    <cellStyle name="Normal 4 3 2 2 2 2 6 3 2" xfId="14840" xr:uid="{677C47F5-48A6-4EA1-9491-B1146E368B61}"/>
    <cellStyle name="Normal 4 3 2 2 2 2 6 4" xfId="10622" xr:uid="{5711695C-2C82-4C21-A1E5-AAD3B6A85E2F}"/>
    <cellStyle name="Normal 4 3 2 2 2 2 7" xfId="2527" xr:uid="{00000000-0005-0000-0000-000030140000}"/>
    <cellStyle name="Normal 4 3 2 2 2 2 7 2" xfId="6811" xr:uid="{00000000-0005-0000-0000-000031140000}"/>
    <cellStyle name="Normal 4 3 2 2 2 2 7 2 2" xfId="15253" xr:uid="{B2147E75-9E13-40DD-BFA3-EAC431DE2BA4}"/>
    <cellStyle name="Normal 4 3 2 2 2 2 7 3" xfId="11035" xr:uid="{1BA598DE-18A0-4950-8631-D35D37602C01}"/>
    <cellStyle name="Normal 4 3 2 2 2 2 8" xfId="4746" xr:uid="{00000000-0005-0000-0000-000032140000}"/>
    <cellStyle name="Normal 4 3 2 2 2 2 8 2" xfId="13188" xr:uid="{7DD4272F-63DF-446A-B848-C63657CBE42B}"/>
    <cellStyle name="Normal 4 3 2 2 2 2 9" xfId="8970" xr:uid="{B27E372C-6B31-4CAC-A7D7-4E3E2F5913E5}"/>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843305AC-930A-4BFD-B7A0-04F59FE671FD}"/>
    <cellStyle name="Normal 4 3 2 2 2 3 2 2 3" xfId="11530" xr:uid="{45C970C9-B3FF-446A-8362-2F27D86597F0}"/>
    <cellStyle name="Normal 4 3 2 2 2 3 2 3" xfId="5161" xr:uid="{00000000-0005-0000-0000-000037140000}"/>
    <cellStyle name="Normal 4 3 2 2 2 3 2 3 2" xfId="13603" xr:uid="{8A18520B-5335-446B-B9D9-1ECC591A5267}"/>
    <cellStyle name="Normal 4 3 2 2 2 3 2 4" xfId="9385" xr:uid="{444B59B5-4122-41A2-82E8-D95678E25255}"/>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34AA1966-6DB7-4817-934D-D397BF24E5AD}"/>
    <cellStyle name="Normal 4 3 2 2 2 3 3 2 3" xfId="11943" xr:uid="{A2ED1308-F60F-4A47-8930-F628E2D91E56}"/>
    <cellStyle name="Normal 4 3 2 2 2 3 3 3" xfId="5574" xr:uid="{00000000-0005-0000-0000-00003B140000}"/>
    <cellStyle name="Normal 4 3 2 2 2 3 3 3 2" xfId="14016" xr:uid="{DD9ACDDE-09E6-4C31-B4E3-611277CED669}"/>
    <cellStyle name="Normal 4 3 2 2 2 3 3 4" xfId="9798" xr:uid="{254FD62A-002C-4591-A174-EDD7E552A82B}"/>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B4E2E0E7-8AF6-469B-A488-E5A589E5D306}"/>
    <cellStyle name="Normal 4 3 2 2 2 3 4 2 3" xfId="12356" xr:uid="{96C7CAE6-3EED-496C-ADAF-B4119D17343A}"/>
    <cellStyle name="Normal 4 3 2 2 2 3 4 3" xfId="5987" xr:uid="{00000000-0005-0000-0000-00003F140000}"/>
    <cellStyle name="Normal 4 3 2 2 2 3 4 3 2" xfId="14429" xr:uid="{6DFDFD10-0906-4114-A67A-288DE6B6CBCF}"/>
    <cellStyle name="Normal 4 3 2 2 2 3 4 4" xfId="10211" xr:uid="{FB27B1C0-9FAE-47C4-92B6-F0AC8208E4E1}"/>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80D9A859-4153-4214-92AD-4E34A28F4071}"/>
    <cellStyle name="Normal 4 3 2 2 2 3 5 2 3" xfId="12769" xr:uid="{0428885F-4D58-4D47-949B-32C48F3F9C6E}"/>
    <cellStyle name="Normal 4 3 2 2 2 3 5 3" xfId="6400" xr:uid="{00000000-0005-0000-0000-000043140000}"/>
    <cellStyle name="Normal 4 3 2 2 2 3 5 3 2" xfId="14842" xr:uid="{D2309801-3844-42C3-AD87-AC2B3D76E3AA}"/>
    <cellStyle name="Normal 4 3 2 2 2 3 5 4" xfId="10624" xr:uid="{3B675704-AEFC-4A4D-8CE3-F81D60A71C87}"/>
    <cellStyle name="Normal 4 3 2 2 2 3 6" xfId="2529" xr:uid="{00000000-0005-0000-0000-000044140000}"/>
    <cellStyle name="Normal 4 3 2 2 2 3 6 2" xfId="6813" xr:uid="{00000000-0005-0000-0000-000045140000}"/>
    <cellStyle name="Normal 4 3 2 2 2 3 6 2 2" xfId="15255" xr:uid="{FB80B1FA-C1C9-4765-856B-B3C32E5D7730}"/>
    <cellStyle name="Normal 4 3 2 2 2 3 6 3" xfId="11037" xr:uid="{077C4834-39D9-4CBB-8C5F-32A7B59F8A69}"/>
    <cellStyle name="Normal 4 3 2 2 2 3 7" xfId="4748" xr:uid="{00000000-0005-0000-0000-000046140000}"/>
    <cellStyle name="Normal 4 3 2 2 2 3 7 2" xfId="13190" xr:uid="{E5DDC374-2C44-4F31-A637-4600017EEE51}"/>
    <cellStyle name="Normal 4 3 2 2 2 3 8" xfId="8972" xr:uid="{2F24F4A1-A6EB-4348-B470-A9364BA71853}"/>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8D5A362B-510B-4884-A23A-BCDAB2DA2F90}"/>
    <cellStyle name="Normal 4 3 2 2 2 4 2 3" xfId="11527" xr:uid="{E7BE98B4-F2F3-4D9E-9BBF-A59C8B43B13B}"/>
    <cellStyle name="Normal 4 3 2 2 2 4 3" xfId="5158" xr:uid="{00000000-0005-0000-0000-00004A140000}"/>
    <cellStyle name="Normal 4 3 2 2 2 4 3 2" xfId="13600" xr:uid="{607475C2-F731-4E59-A8BA-4222BAB5BBA6}"/>
    <cellStyle name="Normal 4 3 2 2 2 4 4" xfId="9382" xr:uid="{65908BC4-56F9-4F9E-BCC5-43DD463E129A}"/>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B709D28D-C59E-4873-AA3F-95AADC8FFF21}"/>
    <cellStyle name="Normal 4 3 2 2 2 5 2 3" xfId="11940" xr:uid="{A8EE4D1E-2A9E-46C6-8FB4-D01A2AF15280}"/>
    <cellStyle name="Normal 4 3 2 2 2 5 3" xfId="5571" xr:uid="{00000000-0005-0000-0000-00004E140000}"/>
    <cellStyle name="Normal 4 3 2 2 2 5 3 2" xfId="14013" xr:uid="{000ADA64-1D0F-4EF7-93C4-0FBFE762EB8C}"/>
    <cellStyle name="Normal 4 3 2 2 2 5 4" xfId="9795" xr:uid="{87C32C80-0567-442A-A17C-5562AB40F3F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EACDBBBF-F791-43EE-8559-61C27C9FBA25}"/>
    <cellStyle name="Normal 4 3 2 2 2 6 2 3" xfId="12353" xr:uid="{9F1AEF23-91E6-4B63-BD15-8FBB8B3C4B58}"/>
    <cellStyle name="Normal 4 3 2 2 2 6 3" xfId="5984" xr:uid="{00000000-0005-0000-0000-000052140000}"/>
    <cellStyle name="Normal 4 3 2 2 2 6 3 2" xfId="14426" xr:uid="{63B8B4C9-6CBA-4004-9AEA-EC9996C70210}"/>
    <cellStyle name="Normal 4 3 2 2 2 6 4" xfId="10208" xr:uid="{BEDC4C1B-010C-4ECC-A297-D229F1A5FBAE}"/>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1DCCDB4D-CE96-4759-A2A6-6F56084DAB40}"/>
    <cellStyle name="Normal 4 3 2 2 2 7 2 3" xfId="12766" xr:uid="{E12269FF-29C9-48B1-80A4-5392F8645307}"/>
    <cellStyle name="Normal 4 3 2 2 2 7 3" xfId="6397" xr:uid="{00000000-0005-0000-0000-000056140000}"/>
    <cellStyle name="Normal 4 3 2 2 2 7 3 2" xfId="14839" xr:uid="{1B576825-FEEC-47C1-B613-5B65998D7ED3}"/>
    <cellStyle name="Normal 4 3 2 2 2 7 4" xfId="10621" xr:uid="{489B8C07-BAB0-466E-8A26-B603A04EBE61}"/>
    <cellStyle name="Normal 4 3 2 2 2 8" xfId="2526" xr:uid="{00000000-0005-0000-0000-000057140000}"/>
    <cellStyle name="Normal 4 3 2 2 2 8 2" xfId="6810" xr:uid="{00000000-0005-0000-0000-000058140000}"/>
    <cellStyle name="Normal 4 3 2 2 2 8 2 2" xfId="15252" xr:uid="{B9BB49DD-D52D-4FE7-8F7F-53AFFBA312B3}"/>
    <cellStyle name="Normal 4 3 2 2 2 8 3" xfId="11034" xr:uid="{BFEEC9B4-CCB9-44D4-AC0A-B8DAD41CF889}"/>
    <cellStyle name="Normal 4 3 2 2 2 9" xfId="4745" xr:uid="{00000000-0005-0000-0000-000059140000}"/>
    <cellStyle name="Normal 4 3 2 2 2 9 2" xfId="13187" xr:uid="{4B281D78-9CDE-46FE-A8A4-2E780A8D8D1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7F40FDEC-F273-4131-81F2-62889B2F47A5}"/>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AE3E0328-58C2-48C7-93F6-7543492D715A}"/>
    <cellStyle name="Normal 4 3 3 2 2 2 2 3" xfId="11533" xr:uid="{3B59B2F7-D73E-48D5-AF89-7826EFE9F7DB}"/>
    <cellStyle name="Normal 4 3 3 2 2 2 3" xfId="5164" xr:uid="{00000000-0005-0000-0000-000063140000}"/>
    <cellStyle name="Normal 4 3 3 2 2 2 3 2" xfId="13606" xr:uid="{ED6C28DF-ED77-4881-95C2-F10E843C61E5}"/>
    <cellStyle name="Normal 4 3 3 2 2 2 4" xfId="9388" xr:uid="{FDD5B4F8-2EEE-4DF8-9F9C-2812511A33C3}"/>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58A2C783-0E2C-4A9A-99D6-1DB50C6A63B9}"/>
    <cellStyle name="Normal 4 3 3 2 2 3 2 3" xfId="11946" xr:uid="{5BAF7D7A-7E20-4EE6-B1D5-FD7D48A32EF9}"/>
    <cellStyle name="Normal 4 3 3 2 2 3 3" xfId="5577" xr:uid="{00000000-0005-0000-0000-000067140000}"/>
    <cellStyle name="Normal 4 3 3 2 2 3 3 2" xfId="14019" xr:uid="{CD2360A3-DB50-42D5-9C99-08BE392D82CC}"/>
    <cellStyle name="Normal 4 3 3 2 2 3 4" xfId="9801" xr:uid="{1BCF22D3-FDF6-400E-8628-2350AE87167E}"/>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1CD047B4-A028-406F-B1B0-9F3DB65AC8C2}"/>
    <cellStyle name="Normal 4 3 3 2 2 4 2 3" xfId="12359" xr:uid="{1084D99A-DD6A-43DE-91E8-A748A8792E42}"/>
    <cellStyle name="Normal 4 3 3 2 2 4 3" xfId="5990" xr:uid="{00000000-0005-0000-0000-00006B140000}"/>
    <cellStyle name="Normal 4 3 3 2 2 4 3 2" xfId="14432" xr:uid="{39E1D3D6-4DD5-4238-BAB4-358C19122EEF}"/>
    <cellStyle name="Normal 4 3 3 2 2 4 4" xfId="10214" xr:uid="{37A604AE-7241-4E6D-84EF-C9745DCE1935}"/>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7C340FBD-E940-4869-BAE4-490159033FF6}"/>
    <cellStyle name="Normal 4 3 3 2 2 5 2 3" xfId="12772" xr:uid="{04D29721-8758-40E2-A624-8983D4F3A525}"/>
    <cellStyle name="Normal 4 3 3 2 2 5 3" xfId="6403" xr:uid="{00000000-0005-0000-0000-00006F140000}"/>
    <cellStyle name="Normal 4 3 3 2 2 5 3 2" xfId="14845" xr:uid="{76DA8977-73A7-4BFA-8C53-98876DEC3218}"/>
    <cellStyle name="Normal 4 3 3 2 2 5 4" xfId="10627" xr:uid="{D9AF61C7-1572-453B-8C1E-9857D2BA3A22}"/>
    <cellStyle name="Normal 4 3 3 2 2 6" xfId="2532" xr:uid="{00000000-0005-0000-0000-000070140000}"/>
    <cellStyle name="Normal 4 3 3 2 2 6 2" xfId="6816" xr:uid="{00000000-0005-0000-0000-000071140000}"/>
    <cellStyle name="Normal 4 3 3 2 2 6 2 2" xfId="15258" xr:uid="{5FE8AB42-0C90-4E43-A942-C5EA19DB9B59}"/>
    <cellStyle name="Normal 4 3 3 2 2 6 3" xfId="11040" xr:uid="{9D884BB7-43D0-4B3C-8CDF-E0601FE8164C}"/>
    <cellStyle name="Normal 4 3 3 2 2 7" xfId="4751" xr:uid="{00000000-0005-0000-0000-000072140000}"/>
    <cellStyle name="Normal 4 3 3 2 2 7 2" xfId="13193" xr:uid="{4C10BDC3-F054-42B0-BDC4-F5EF25C58769}"/>
    <cellStyle name="Normal 4 3 3 2 2 8" xfId="8975" xr:uid="{ADB61012-ECCF-40B1-BBEF-25C410F6C8B8}"/>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87034C60-F6D8-42B5-A67C-5A86C8A631D0}"/>
    <cellStyle name="Normal 4 3 3 2 3 2 3" xfId="11532" xr:uid="{4B9E9A41-DDAF-4269-A9DF-4AFF87A3B3C3}"/>
    <cellStyle name="Normal 4 3 3 2 3 3" xfId="5163" xr:uid="{00000000-0005-0000-0000-000076140000}"/>
    <cellStyle name="Normal 4 3 3 2 3 3 2" xfId="13605" xr:uid="{2F12D50E-A217-4236-88CE-51FF46CC8AAE}"/>
    <cellStyle name="Normal 4 3 3 2 3 4" xfId="9387" xr:uid="{F6A0F9D3-6CF7-4726-B337-36483447E388}"/>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7288702E-D869-4E4E-86D3-9251A05E285B}"/>
    <cellStyle name="Normal 4 3 3 2 4 2 3" xfId="11945" xr:uid="{386AA812-4194-41B5-92C3-500F36B8488F}"/>
    <cellStyle name="Normal 4 3 3 2 4 3" xfId="5576" xr:uid="{00000000-0005-0000-0000-00007A140000}"/>
    <cellStyle name="Normal 4 3 3 2 4 3 2" xfId="14018" xr:uid="{0F612DAD-A061-42B3-B8B1-21151BC81420}"/>
    <cellStyle name="Normal 4 3 3 2 4 4" xfId="9800" xr:uid="{5FF0E874-642A-43A8-8730-ABF3792615C8}"/>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560B1B78-6B6F-49AD-888F-8E557FF4D833}"/>
    <cellStyle name="Normal 4 3 3 2 5 2 3" xfId="12358" xr:uid="{DD4A9A77-FB53-493C-BF6E-D8E90DE48A74}"/>
    <cellStyle name="Normal 4 3 3 2 5 3" xfId="5989" xr:uid="{00000000-0005-0000-0000-00007E140000}"/>
    <cellStyle name="Normal 4 3 3 2 5 3 2" xfId="14431" xr:uid="{6E7CCBB3-D7B1-4463-9E67-01A845B19160}"/>
    <cellStyle name="Normal 4 3 3 2 5 4" xfId="10213" xr:uid="{A515E6DF-A089-43DA-AB8F-614D898423C7}"/>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7E18D36E-A1B2-4C3E-BC06-B324D6722A2A}"/>
    <cellStyle name="Normal 4 3 3 2 6 2 3" xfId="12771" xr:uid="{60F6C4BF-58A3-4000-AD88-D18F019E6AEE}"/>
    <cellStyle name="Normal 4 3 3 2 6 3" xfId="6402" xr:uid="{00000000-0005-0000-0000-000082140000}"/>
    <cellStyle name="Normal 4 3 3 2 6 3 2" xfId="14844" xr:uid="{B3322659-7D70-4AFB-9441-DCA830905DAA}"/>
    <cellStyle name="Normal 4 3 3 2 6 4" xfId="10626" xr:uid="{05A57906-0D8D-40B0-B7A9-8B3FE026BD41}"/>
    <cellStyle name="Normal 4 3 3 2 7" xfId="2531" xr:uid="{00000000-0005-0000-0000-000083140000}"/>
    <cellStyle name="Normal 4 3 3 2 7 2" xfId="6815" xr:uid="{00000000-0005-0000-0000-000084140000}"/>
    <cellStyle name="Normal 4 3 3 2 7 2 2" xfId="15257" xr:uid="{90B567AA-5559-415C-A122-9180AA5AE935}"/>
    <cellStyle name="Normal 4 3 3 2 7 3" xfId="11039" xr:uid="{FD9087B5-ACDB-4A2A-8500-69310CE6B4C3}"/>
    <cellStyle name="Normal 4 3 3 2 8" xfId="4750" xr:uid="{00000000-0005-0000-0000-000085140000}"/>
    <cellStyle name="Normal 4 3 3 2 8 2" xfId="13192" xr:uid="{435BA2F1-EB2D-4E5E-92EE-1A9DC2B8775A}"/>
    <cellStyle name="Normal 4 3 3 2 9" xfId="8974" xr:uid="{7888071A-88FB-45D5-B566-D61AD236F999}"/>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FCA28F99-B701-405A-925C-E7B9C8C96C78}"/>
    <cellStyle name="Normal 4 3 3 3 2 2 3" xfId="11534" xr:uid="{0DCBB366-655C-46DA-8157-2B65CC237A76}"/>
    <cellStyle name="Normal 4 3 3 3 2 3" xfId="5165" xr:uid="{00000000-0005-0000-0000-00008A140000}"/>
    <cellStyle name="Normal 4 3 3 3 2 3 2" xfId="13607" xr:uid="{ADA0DC08-7DA1-445B-A028-7908198E2B76}"/>
    <cellStyle name="Normal 4 3 3 3 2 4" xfId="9389" xr:uid="{3AA5E359-8BCE-4CD2-90CB-0EBD9E464DCD}"/>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E47F477B-E70C-458A-A3C3-3A34053EF78E}"/>
    <cellStyle name="Normal 4 3 3 3 3 2 3" xfId="11947" xr:uid="{5967F728-6732-4965-87D5-D2336D72E95B}"/>
    <cellStyle name="Normal 4 3 3 3 3 3" xfId="5578" xr:uid="{00000000-0005-0000-0000-00008E140000}"/>
    <cellStyle name="Normal 4 3 3 3 3 3 2" xfId="14020" xr:uid="{8EC32502-5A3C-4853-A933-9B21239240FA}"/>
    <cellStyle name="Normal 4 3 3 3 3 4" xfId="9802" xr:uid="{BAD226F8-E91A-4C62-8E04-102CBCEC15B6}"/>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FFEC4412-EBCC-4799-A40A-EAA6BD54602E}"/>
    <cellStyle name="Normal 4 3 3 3 4 2 3" xfId="12360" xr:uid="{D393910B-306A-4D6F-BE2B-CEC5A8F4A796}"/>
    <cellStyle name="Normal 4 3 3 3 4 3" xfId="5991" xr:uid="{00000000-0005-0000-0000-000092140000}"/>
    <cellStyle name="Normal 4 3 3 3 4 3 2" xfId="14433" xr:uid="{41952ED2-9652-41D1-92CD-6EC5BA194529}"/>
    <cellStyle name="Normal 4 3 3 3 4 4" xfId="10215" xr:uid="{8C46D585-0E64-4EA7-B221-19BDA61DAD35}"/>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610E6161-BFF1-473C-99A3-E5F5A28C1CD5}"/>
    <cellStyle name="Normal 4 3 3 3 5 2 3" xfId="12773" xr:uid="{03AC30EE-39F3-4202-AC83-90F65569ABEA}"/>
    <cellStyle name="Normal 4 3 3 3 5 3" xfId="6404" xr:uid="{00000000-0005-0000-0000-000096140000}"/>
    <cellStyle name="Normal 4 3 3 3 5 3 2" xfId="14846" xr:uid="{6C8C7DCB-208B-4EE2-9AF3-8D9E4E42BBC2}"/>
    <cellStyle name="Normal 4 3 3 3 5 4" xfId="10628" xr:uid="{566DED31-07EF-4189-801D-A88D4B2E51BC}"/>
    <cellStyle name="Normal 4 3 3 3 6" xfId="2533" xr:uid="{00000000-0005-0000-0000-000097140000}"/>
    <cellStyle name="Normal 4 3 3 3 6 2" xfId="6817" xr:uid="{00000000-0005-0000-0000-000098140000}"/>
    <cellStyle name="Normal 4 3 3 3 6 2 2" xfId="15259" xr:uid="{C01D020D-3962-4EC7-848E-87EF44BB022B}"/>
    <cellStyle name="Normal 4 3 3 3 6 3" xfId="11041" xr:uid="{EC7F57FB-850C-4ABD-8CD3-2357206E89BD}"/>
    <cellStyle name="Normal 4 3 3 3 7" xfId="4752" xr:uid="{00000000-0005-0000-0000-000099140000}"/>
    <cellStyle name="Normal 4 3 3 3 7 2" xfId="13194" xr:uid="{1D0A371D-281B-4618-88B5-BA3B14ED56BA}"/>
    <cellStyle name="Normal 4 3 3 3 8" xfId="8976" xr:uid="{BF4695E7-C66C-4AC7-A320-C6099D4734E3}"/>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67F629EB-749C-494E-94D8-2FB859581EDD}"/>
    <cellStyle name="Normal 4 3 3 4 2 3" xfId="11531" xr:uid="{3E60137B-BD18-43B1-A01C-1FC36FEAA977}"/>
    <cellStyle name="Normal 4 3 3 4 3" xfId="5162" xr:uid="{00000000-0005-0000-0000-00009D140000}"/>
    <cellStyle name="Normal 4 3 3 4 3 2" xfId="13604" xr:uid="{05AEDBE8-FB1E-4792-8AED-3A10EB3CF298}"/>
    <cellStyle name="Normal 4 3 3 4 4" xfId="9386" xr:uid="{3B90F2AF-4D01-4C81-B262-290DF654BF91}"/>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63763860-A36A-4F55-A3D3-C6E25144F1A3}"/>
    <cellStyle name="Normal 4 3 3 5 2 3" xfId="11944" xr:uid="{337F54B6-D0A1-4038-9CBD-B66AB3EF1FCF}"/>
    <cellStyle name="Normal 4 3 3 5 3" xfId="5575" xr:uid="{00000000-0005-0000-0000-0000A1140000}"/>
    <cellStyle name="Normal 4 3 3 5 3 2" xfId="14017" xr:uid="{6F92554C-4826-4A1E-AA65-905F99B7351C}"/>
    <cellStyle name="Normal 4 3 3 5 4" xfId="9799" xr:uid="{2B539E15-1C81-41A5-A763-C18E1281D188}"/>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C9ABB287-90CE-478A-B718-EC6AC67FA7E3}"/>
    <cellStyle name="Normal 4 3 3 6 2 3" xfId="12357" xr:uid="{428F3A70-C5F2-40BE-AC87-C18EEDED45E5}"/>
    <cellStyle name="Normal 4 3 3 6 3" xfId="5988" xr:uid="{00000000-0005-0000-0000-0000A5140000}"/>
    <cellStyle name="Normal 4 3 3 6 3 2" xfId="14430" xr:uid="{5FCDFEAC-779C-4171-8B96-8A35F42C0F7E}"/>
    <cellStyle name="Normal 4 3 3 6 4" xfId="10212" xr:uid="{02022C77-56E2-4EFD-826B-A0C03D0F13E4}"/>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0500BFAC-A347-4854-99F4-59341E8C8F43}"/>
    <cellStyle name="Normal 4 3 3 7 2 3" xfId="12770" xr:uid="{26CEEF59-714A-456A-BC93-ECD95146F1E2}"/>
    <cellStyle name="Normal 4 3 3 7 3" xfId="6401" xr:uid="{00000000-0005-0000-0000-0000A9140000}"/>
    <cellStyle name="Normal 4 3 3 7 3 2" xfId="14843" xr:uid="{11CCD9D5-4AE6-4F65-87D0-84851CF4DBFC}"/>
    <cellStyle name="Normal 4 3 3 7 4" xfId="10625" xr:uid="{7C45FAFE-4A49-406C-B1B7-8BF9E3A90B7C}"/>
    <cellStyle name="Normal 4 3 3 8" xfId="2530" xr:uid="{00000000-0005-0000-0000-0000AA140000}"/>
    <cellStyle name="Normal 4 3 3 8 2" xfId="6814" xr:uid="{00000000-0005-0000-0000-0000AB140000}"/>
    <cellStyle name="Normal 4 3 3 8 2 2" xfId="15256" xr:uid="{E3716AB7-2C2A-427A-A89F-85E6C49826D4}"/>
    <cellStyle name="Normal 4 3 3 8 3" xfId="11038" xr:uid="{226F1943-3A2B-4259-99EF-BDCE7144F8F4}"/>
    <cellStyle name="Normal 4 3 3 9" xfId="4749" xr:uid="{00000000-0005-0000-0000-0000AC140000}"/>
    <cellStyle name="Normal 4 3 3 9 2" xfId="13191" xr:uid="{3794CCA2-D1D9-4D06-89E3-2FF910893291}"/>
    <cellStyle name="Normal 4 3 4" xfId="842" xr:uid="{00000000-0005-0000-0000-0000AD140000}"/>
    <cellStyle name="Normal 4 3 4 2" xfId="3079" xr:uid="{00000000-0005-0000-0000-0000AE140000}"/>
    <cellStyle name="Normal 4 3 4 2 2" xfId="7302" xr:uid="{00000000-0005-0000-0000-0000AF140000}"/>
    <cellStyle name="Normal 4 3 4 2 2 2" xfId="15744" xr:uid="{7B1E6727-9A5A-4DEF-9BA0-63A2847198F9}"/>
    <cellStyle name="Normal 4 3 4 2 3" xfId="11526" xr:uid="{BE824CB5-3881-4E5E-81DC-4D6DAB02901E}"/>
    <cellStyle name="Normal 4 3 4 3" xfId="5157" xr:uid="{00000000-0005-0000-0000-0000B0140000}"/>
    <cellStyle name="Normal 4 3 4 3 2" xfId="13599" xr:uid="{BBD19589-3D56-4FFC-A7D7-88F6EC20144D}"/>
    <cellStyle name="Normal 4 3 4 4" xfId="9381" xr:uid="{73F143A6-D718-44D4-93F4-B8333924251B}"/>
    <cellStyle name="Normal 4 3 5" xfId="1262" xr:uid="{00000000-0005-0000-0000-0000B1140000}"/>
    <cellStyle name="Normal 4 3 5 2" xfId="3492" xr:uid="{00000000-0005-0000-0000-0000B2140000}"/>
    <cellStyle name="Normal 4 3 5 2 2" xfId="7715" xr:uid="{00000000-0005-0000-0000-0000B3140000}"/>
    <cellStyle name="Normal 4 3 5 2 2 2" xfId="16157" xr:uid="{B47F606B-AB7C-4D03-B898-DCE7A3358398}"/>
    <cellStyle name="Normal 4 3 5 2 3" xfId="11939" xr:uid="{5171145F-D7F7-4BB6-939D-95DFC626C44F}"/>
    <cellStyle name="Normal 4 3 5 3" xfId="5570" xr:uid="{00000000-0005-0000-0000-0000B4140000}"/>
    <cellStyle name="Normal 4 3 5 3 2" xfId="14012" xr:uid="{8143B0E6-E751-41C1-A830-9D4C2E29CFB7}"/>
    <cellStyle name="Normal 4 3 5 4" xfId="9794" xr:uid="{CC7CE637-1C36-47EC-9717-7619979D0225}"/>
    <cellStyle name="Normal 4 3 6" xfId="1675" xr:uid="{00000000-0005-0000-0000-0000B5140000}"/>
    <cellStyle name="Normal 4 3 6 2" xfId="3905" xr:uid="{00000000-0005-0000-0000-0000B6140000}"/>
    <cellStyle name="Normal 4 3 6 2 2" xfId="8128" xr:uid="{00000000-0005-0000-0000-0000B7140000}"/>
    <cellStyle name="Normal 4 3 6 2 2 2" xfId="16570" xr:uid="{AA0FF129-315E-4A78-BDE6-38C145F82CB2}"/>
    <cellStyle name="Normal 4 3 6 2 3" xfId="12352" xr:uid="{56A3041F-FAEC-4D40-9DBE-A0E7A1BAE0E3}"/>
    <cellStyle name="Normal 4 3 6 3" xfId="5983" xr:uid="{00000000-0005-0000-0000-0000B8140000}"/>
    <cellStyle name="Normal 4 3 6 3 2" xfId="14425" xr:uid="{190865A3-53EC-4DEA-B327-342621428E41}"/>
    <cellStyle name="Normal 4 3 6 4" xfId="10207" xr:uid="{92A469A2-0D9A-438B-8944-DE4CDBC5D55B}"/>
    <cellStyle name="Normal 4 3 7" xfId="2089" xr:uid="{00000000-0005-0000-0000-0000B9140000}"/>
    <cellStyle name="Normal 4 3 7 2" xfId="4318" xr:uid="{00000000-0005-0000-0000-0000BA140000}"/>
    <cellStyle name="Normal 4 3 7 2 2" xfId="8541" xr:uid="{00000000-0005-0000-0000-0000BB140000}"/>
    <cellStyle name="Normal 4 3 7 2 2 2" xfId="16983" xr:uid="{8A3CAF7E-571D-4DA3-B3E2-806C340E9269}"/>
    <cellStyle name="Normal 4 3 7 2 3" xfId="12765" xr:uid="{4EBD2A0C-F102-413D-843B-802ECA620EC4}"/>
    <cellStyle name="Normal 4 3 7 3" xfId="6396" xr:uid="{00000000-0005-0000-0000-0000BC140000}"/>
    <cellStyle name="Normal 4 3 7 3 2" xfId="14838" xr:uid="{A873E1EF-5390-4497-BDF6-BE9A2648A485}"/>
    <cellStyle name="Normal 4 3 7 4" xfId="10620" xr:uid="{F090537F-B5DD-4310-9735-918041666835}"/>
    <cellStyle name="Normal 4 3 8" xfId="2525" xr:uid="{00000000-0005-0000-0000-0000BD140000}"/>
    <cellStyle name="Normal 4 3 8 2" xfId="6809" xr:uid="{00000000-0005-0000-0000-0000BE140000}"/>
    <cellStyle name="Normal 4 3 8 2 2" xfId="15251" xr:uid="{6D1551A9-E700-4CC0-8871-0E88E968A826}"/>
    <cellStyle name="Normal 4 3 8 3" xfId="11033" xr:uid="{C88BC98F-9364-4163-95AE-1ABE5E294C74}"/>
    <cellStyle name="Normal 4 3 9" xfId="4744" xr:uid="{00000000-0005-0000-0000-0000BF140000}"/>
    <cellStyle name="Normal 4 3 9 2" xfId="13186" xr:uid="{9D9369EA-2FE6-4C5D-94A8-17B295B9FC5F}"/>
    <cellStyle name="Normal 4 4" xfId="378" xr:uid="{00000000-0005-0000-0000-0000C0140000}"/>
    <cellStyle name="Normal 4 4 10" xfId="2534" xr:uid="{00000000-0005-0000-0000-0000C1140000}"/>
    <cellStyle name="Normal 4 4 10 2" xfId="6818" xr:uid="{00000000-0005-0000-0000-0000C2140000}"/>
    <cellStyle name="Normal 4 4 10 2 2" xfId="15260" xr:uid="{4357768B-EA9A-4CE2-85D6-8124B74D262F}"/>
    <cellStyle name="Normal 4 4 10 3" xfId="11042" xr:uid="{C28E8E59-CDE5-4925-91BC-1DBF0F57A32C}"/>
    <cellStyle name="Normal 4 4 11" xfId="4753" xr:uid="{00000000-0005-0000-0000-0000C3140000}"/>
    <cellStyle name="Normal 4 4 11 2" xfId="13195" xr:uid="{C77BD696-3458-41A1-B8D3-CD68433E6E93}"/>
    <cellStyle name="Normal 4 4 12" xfId="8977" xr:uid="{DA2187A7-1EFA-488C-A84E-7280D81B083C}"/>
    <cellStyle name="Normal 4 4 2" xfId="379" xr:uid="{00000000-0005-0000-0000-0000C4140000}"/>
    <cellStyle name="Normal 4 4 2 10" xfId="4754" xr:uid="{00000000-0005-0000-0000-0000C5140000}"/>
    <cellStyle name="Normal 4 4 2 10 2" xfId="13196" xr:uid="{3A729BC2-5ED0-4503-9F17-61AE1C4B80FA}"/>
    <cellStyle name="Normal 4 4 2 11" xfId="8978" xr:uid="{9E8F1860-F9E0-4FD8-B6C3-0FAB993A059D}"/>
    <cellStyle name="Normal 4 4 2 2" xfId="380" xr:uid="{00000000-0005-0000-0000-0000C6140000}"/>
    <cellStyle name="Normal 4 4 2 2 10" xfId="8979" xr:uid="{88A51E22-C501-4AFB-B3E8-EB9B60A26BB4}"/>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98633307-EC87-4C9F-B6CB-715ED08920BE}"/>
    <cellStyle name="Normal 4 4 2 2 2 2 2 2 3" xfId="11539" xr:uid="{F766A675-16B8-4930-B59D-E9022F9ED552}"/>
    <cellStyle name="Normal 4 4 2 2 2 2 2 3" xfId="5170" xr:uid="{00000000-0005-0000-0000-0000CC140000}"/>
    <cellStyle name="Normal 4 4 2 2 2 2 2 3 2" xfId="13612" xr:uid="{8DCB95F4-80CD-4D97-9A25-750B95689D6B}"/>
    <cellStyle name="Normal 4 4 2 2 2 2 2 4" xfId="9394" xr:uid="{9D623CBE-AEA4-40D6-952C-73613F36CE9F}"/>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06AB5228-E101-435E-A13C-6EE96D8E5CFF}"/>
    <cellStyle name="Normal 4 4 2 2 2 2 3 2 3" xfId="11952" xr:uid="{465BE837-C4C3-4BF6-AFD0-19E614064A75}"/>
    <cellStyle name="Normal 4 4 2 2 2 2 3 3" xfId="5583" xr:uid="{00000000-0005-0000-0000-0000D0140000}"/>
    <cellStyle name="Normal 4 4 2 2 2 2 3 3 2" xfId="14025" xr:uid="{173EB64E-82AD-4001-BDDB-CDDB29AA00FC}"/>
    <cellStyle name="Normal 4 4 2 2 2 2 3 4" xfId="9807" xr:uid="{F82CD09D-8194-4589-9978-16FB03FBFFCF}"/>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E4DD4BEC-1E12-4DFA-B256-FEFF33719FA1}"/>
    <cellStyle name="Normal 4 4 2 2 2 2 4 2 3" xfId="12365" xr:uid="{F0392D46-7870-4AA8-834E-F1690D624775}"/>
    <cellStyle name="Normal 4 4 2 2 2 2 4 3" xfId="5996" xr:uid="{00000000-0005-0000-0000-0000D4140000}"/>
    <cellStyle name="Normal 4 4 2 2 2 2 4 3 2" xfId="14438" xr:uid="{7A86BD70-8D2C-4E95-B2A0-000E3F2C8F32}"/>
    <cellStyle name="Normal 4 4 2 2 2 2 4 4" xfId="10220" xr:uid="{1479247F-2A38-48E9-8B2E-4F71DE20B62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859E5D80-D366-45EB-8E3D-0F585AC06859}"/>
    <cellStyle name="Normal 4 4 2 2 2 2 5 2 3" xfId="12778" xr:uid="{75AC117B-E615-46DE-80BD-66E04D8E3D0C}"/>
    <cellStyle name="Normal 4 4 2 2 2 2 5 3" xfId="6409" xr:uid="{00000000-0005-0000-0000-0000D8140000}"/>
    <cellStyle name="Normal 4 4 2 2 2 2 5 3 2" xfId="14851" xr:uid="{AE6C69BA-4270-4EF9-BD69-5FA1B5B8FA57}"/>
    <cellStyle name="Normal 4 4 2 2 2 2 5 4" xfId="10633" xr:uid="{8E9D6C29-AEEF-4032-80A9-1DA7E0F1C466}"/>
    <cellStyle name="Normal 4 4 2 2 2 2 6" xfId="2538" xr:uid="{00000000-0005-0000-0000-0000D9140000}"/>
    <cellStyle name="Normal 4 4 2 2 2 2 6 2" xfId="6822" xr:uid="{00000000-0005-0000-0000-0000DA140000}"/>
    <cellStyle name="Normal 4 4 2 2 2 2 6 2 2" xfId="15264" xr:uid="{F9AF2EAD-3740-44E6-BB1F-FC86A5DAAA12}"/>
    <cellStyle name="Normal 4 4 2 2 2 2 6 3" xfId="11046" xr:uid="{672FE2F6-E005-4782-9205-29605CFBDAD7}"/>
    <cellStyle name="Normal 4 4 2 2 2 2 7" xfId="4757" xr:uid="{00000000-0005-0000-0000-0000DB140000}"/>
    <cellStyle name="Normal 4 4 2 2 2 2 7 2" xfId="13199" xr:uid="{3893327C-0E7D-4CE8-B35C-24B3ADF2B277}"/>
    <cellStyle name="Normal 4 4 2 2 2 2 8" xfId="8981" xr:uid="{E3881CBC-3438-49E3-B8D3-2F6509A827A1}"/>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54478A0B-D13B-4D00-A541-61D7958054A5}"/>
    <cellStyle name="Normal 4 4 2 2 2 3 2 3" xfId="11538" xr:uid="{6339DDE2-FBC2-4411-8A62-8DE84EEE6DE0}"/>
    <cellStyle name="Normal 4 4 2 2 2 3 3" xfId="5169" xr:uid="{00000000-0005-0000-0000-0000DF140000}"/>
    <cellStyle name="Normal 4 4 2 2 2 3 3 2" xfId="13611" xr:uid="{EE53220C-E866-4406-A54F-2D98E9A09BFC}"/>
    <cellStyle name="Normal 4 4 2 2 2 3 4" xfId="9393" xr:uid="{C4855D4E-B441-4EFF-92D1-337C5F780971}"/>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7BA91E68-A487-4E52-8735-3E384DB7EFDD}"/>
    <cellStyle name="Normal 4 4 2 2 2 4 2 3" xfId="11951" xr:uid="{E8612C63-839D-4091-8E1B-D5E2B6407E83}"/>
    <cellStyle name="Normal 4 4 2 2 2 4 3" xfId="5582" xr:uid="{00000000-0005-0000-0000-0000E3140000}"/>
    <cellStyle name="Normal 4 4 2 2 2 4 3 2" xfId="14024" xr:uid="{5FE4EB31-6CE4-4601-9F5A-44F6D7091790}"/>
    <cellStyle name="Normal 4 4 2 2 2 4 4" xfId="9806" xr:uid="{5092A740-0EB7-43F3-992B-F6C22A4858FC}"/>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7A1324CE-5B1A-476C-9B5A-5710755916EE}"/>
    <cellStyle name="Normal 4 4 2 2 2 5 2 3" xfId="12364" xr:uid="{F0E6D2E3-8B62-4878-AFB2-824C572F1649}"/>
    <cellStyle name="Normal 4 4 2 2 2 5 3" xfId="5995" xr:uid="{00000000-0005-0000-0000-0000E7140000}"/>
    <cellStyle name="Normal 4 4 2 2 2 5 3 2" xfId="14437" xr:uid="{8833DC14-37AC-4E04-9D34-953D36C1A2A0}"/>
    <cellStyle name="Normal 4 4 2 2 2 5 4" xfId="10219" xr:uid="{6B923D65-3D03-44EE-B4EC-199ADB836352}"/>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19A632C0-1D2D-4F44-A849-2B17C39C456A}"/>
    <cellStyle name="Normal 4 4 2 2 2 6 2 3" xfId="12777" xr:uid="{88309A4F-9023-490E-A26D-D1C69D2A44C3}"/>
    <cellStyle name="Normal 4 4 2 2 2 6 3" xfId="6408" xr:uid="{00000000-0005-0000-0000-0000EB140000}"/>
    <cellStyle name="Normal 4 4 2 2 2 6 3 2" xfId="14850" xr:uid="{C32C5FA9-9AAF-4A26-8A71-60172D1E1818}"/>
    <cellStyle name="Normal 4 4 2 2 2 6 4" xfId="10632" xr:uid="{FCE546AB-82AC-4412-A63C-E08FE9DA387D}"/>
    <cellStyle name="Normal 4 4 2 2 2 7" xfId="2537" xr:uid="{00000000-0005-0000-0000-0000EC140000}"/>
    <cellStyle name="Normal 4 4 2 2 2 7 2" xfId="6821" xr:uid="{00000000-0005-0000-0000-0000ED140000}"/>
    <cellStyle name="Normal 4 4 2 2 2 7 2 2" xfId="15263" xr:uid="{76DEF510-9786-423A-8BF5-42231DFBEADA}"/>
    <cellStyle name="Normal 4 4 2 2 2 7 3" xfId="11045" xr:uid="{06B911BD-07B1-461A-9FDC-C00E02B93444}"/>
    <cellStyle name="Normal 4 4 2 2 2 8" xfId="4756" xr:uid="{00000000-0005-0000-0000-0000EE140000}"/>
    <cellStyle name="Normal 4 4 2 2 2 8 2" xfId="13198" xr:uid="{6964294C-3CC7-42DD-8DEA-D1CEFDF383E3}"/>
    <cellStyle name="Normal 4 4 2 2 2 9" xfId="8980" xr:uid="{CD06655B-E9FF-47B5-BFC8-0685F456A8A7}"/>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4983A394-F103-474C-BC73-3AC30CA2857C}"/>
    <cellStyle name="Normal 4 4 2 2 3 2 2 3" xfId="11540" xr:uid="{B7BBE27F-4BF3-45C1-AECF-D95004EBB5AC}"/>
    <cellStyle name="Normal 4 4 2 2 3 2 3" xfId="5171" xr:uid="{00000000-0005-0000-0000-0000F3140000}"/>
    <cellStyle name="Normal 4 4 2 2 3 2 3 2" xfId="13613" xr:uid="{2D39D132-9187-4BC4-988E-94731B89296B}"/>
    <cellStyle name="Normal 4 4 2 2 3 2 4" xfId="9395" xr:uid="{37D50905-F4D5-4136-9910-7AFBCEA6AFA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6465BF2A-C7ED-44DC-A5F7-E7794EDF2EA9}"/>
    <cellStyle name="Normal 4 4 2 2 3 3 2 3" xfId="11953" xr:uid="{C9821F73-BBAA-41BD-B641-EE520633A706}"/>
    <cellStyle name="Normal 4 4 2 2 3 3 3" xfId="5584" xr:uid="{00000000-0005-0000-0000-0000F7140000}"/>
    <cellStyle name="Normal 4 4 2 2 3 3 3 2" xfId="14026" xr:uid="{ADD8C454-C696-4776-9D6A-68F179E70D33}"/>
    <cellStyle name="Normal 4 4 2 2 3 3 4" xfId="9808" xr:uid="{DB0F9FCF-9661-4061-9770-3F7C48F05D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74530692-EC35-4C74-9C69-4782B00C6729}"/>
    <cellStyle name="Normal 4 4 2 2 3 4 2 3" xfId="12366" xr:uid="{9002B686-346F-475E-B81D-780CF77FB9A9}"/>
    <cellStyle name="Normal 4 4 2 2 3 4 3" xfId="5997" xr:uid="{00000000-0005-0000-0000-0000FB140000}"/>
    <cellStyle name="Normal 4 4 2 2 3 4 3 2" xfId="14439" xr:uid="{7D82CBFB-0C02-4A3D-BF87-D27DA208196D}"/>
    <cellStyle name="Normal 4 4 2 2 3 4 4" xfId="10221" xr:uid="{27A5AA2A-87AF-4A30-BC49-17FBD219157A}"/>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53B6029B-441D-400A-9698-A060E950C7F3}"/>
    <cellStyle name="Normal 4 4 2 2 3 5 2 3" xfId="12779" xr:uid="{E7558332-F0BC-4475-8B62-B76B6E24120C}"/>
    <cellStyle name="Normal 4 4 2 2 3 5 3" xfId="6410" xr:uid="{00000000-0005-0000-0000-0000FF140000}"/>
    <cellStyle name="Normal 4 4 2 2 3 5 3 2" xfId="14852" xr:uid="{2F60B70E-9893-472D-BDAE-34FEE4E6C872}"/>
    <cellStyle name="Normal 4 4 2 2 3 5 4" xfId="10634" xr:uid="{1F986369-A13E-41F5-BF5A-1D81CCEEA83C}"/>
    <cellStyle name="Normal 4 4 2 2 3 6" xfId="2539" xr:uid="{00000000-0005-0000-0000-000000150000}"/>
    <cellStyle name="Normal 4 4 2 2 3 6 2" xfId="6823" xr:uid="{00000000-0005-0000-0000-000001150000}"/>
    <cellStyle name="Normal 4 4 2 2 3 6 2 2" xfId="15265" xr:uid="{E433CDF3-5FE8-4846-815E-4271294AF459}"/>
    <cellStyle name="Normal 4 4 2 2 3 6 3" xfId="11047" xr:uid="{F59BC8CD-C510-4575-BCE8-46302C6CD654}"/>
    <cellStyle name="Normal 4 4 2 2 3 7" xfId="4758" xr:uid="{00000000-0005-0000-0000-000002150000}"/>
    <cellStyle name="Normal 4 4 2 2 3 7 2" xfId="13200" xr:uid="{F3EC6E35-E9A5-40EF-A3F2-E9957EDA929C}"/>
    <cellStyle name="Normal 4 4 2 2 3 8" xfId="8982" xr:uid="{E8FB6C05-B992-4D33-9A00-1BABC53DDE10}"/>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E14EBDA3-3DCE-4795-9218-9EC9000DEF9E}"/>
    <cellStyle name="Normal 4 4 2 2 4 2 3" xfId="11537" xr:uid="{856307CF-6BA1-4984-90F7-AF38E8118872}"/>
    <cellStyle name="Normal 4 4 2 2 4 3" xfId="5168" xr:uid="{00000000-0005-0000-0000-000006150000}"/>
    <cellStyle name="Normal 4 4 2 2 4 3 2" xfId="13610" xr:uid="{8E2011FE-651F-40C5-971B-285D381203F1}"/>
    <cellStyle name="Normal 4 4 2 2 4 4" xfId="9392" xr:uid="{3A4CCE86-8BA7-4EBC-B324-9460A93557F9}"/>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E1C80FF1-116E-4C70-9F0F-5F1DCE5695BC}"/>
    <cellStyle name="Normal 4 4 2 2 5 2 3" xfId="11950" xr:uid="{6EF7EC6B-10B7-4891-9573-5B5AE2A9E8CA}"/>
    <cellStyle name="Normal 4 4 2 2 5 3" xfId="5581" xr:uid="{00000000-0005-0000-0000-00000A150000}"/>
    <cellStyle name="Normal 4 4 2 2 5 3 2" xfId="14023" xr:uid="{5B5A08EE-5C01-41E0-81CE-FA4446CBEF25}"/>
    <cellStyle name="Normal 4 4 2 2 5 4" xfId="9805" xr:uid="{5BE6649D-EE42-4DA0-A827-85BB31A199B7}"/>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59E6CB48-27ED-4339-B5E7-C169681A35B2}"/>
    <cellStyle name="Normal 4 4 2 2 6 2 3" xfId="12363" xr:uid="{88C2A86E-EEAD-4A5E-BF73-28B170ED3514}"/>
    <cellStyle name="Normal 4 4 2 2 6 3" xfId="5994" xr:uid="{00000000-0005-0000-0000-00000E150000}"/>
    <cellStyle name="Normal 4 4 2 2 6 3 2" xfId="14436" xr:uid="{AC4D8C79-E76E-4274-BC05-DD88E21753DF}"/>
    <cellStyle name="Normal 4 4 2 2 6 4" xfId="10218" xr:uid="{4F700631-56DF-494E-BD1A-828A5EA3A9E6}"/>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F945C03E-4D79-4870-A6E7-08DB09D1CDAB}"/>
    <cellStyle name="Normal 4 4 2 2 7 2 3" xfId="12776" xr:uid="{E5074B34-BA43-4966-B27C-0B84EDBB3A58}"/>
    <cellStyle name="Normal 4 4 2 2 7 3" xfId="6407" xr:uid="{00000000-0005-0000-0000-000012150000}"/>
    <cellStyle name="Normal 4 4 2 2 7 3 2" xfId="14849" xr:uid="{198C7EAA-CC63-4038-925A-9935E747CD9D}"/>
    <cellStyle name="Normal 4 4 2 2 7 4" xfId="10631" xr:uid="{245A6F48-8C94-4288-8A21-143BAD1EA15D}"/>
    <cellStyle name="Normal 4 4 2 2 8" xfId="2536" xr:uid="{00000000-0005-0000-0000-000013150000}"/>
    <cellStyle name="Normal 4 4 2 2 8 2" xfId="6820" xr:uid="{00000000-0005-0000-0000-000014150000}"/>
    <cellStyle name="Normal 4 4 2 2 8 2 2" xfId="15262" xr:uid="{C50DF136-3ED6-42BF-ACB9-B3BF225CA120}"/>
    <cellStyle name="Normal 4 4 2 2 8 3" xfId="11044" xr:uid="{443DE9E3-6AB5-47DB-BAD8-E11A09B7B810}"/>
    <cellStyle name="Normal 4 4 2 2 9" xfId="4755" xr:uid="{00000000-0005-0000-0000-000015150000}"/>
    <cellStyle name="Normal 4 4 2 2 9 2" xfId="13197" xr:uid="{6EA3CB31-BC4C-4AF2-A335-249BA759D4CD}"/>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8A0052E2-9A36-4081-B7D1-CA84F907B51A}"/>
    <cellStyle name="Normal 4 4 2 3 2 2 2 3" xfId="11542" xr:uid="{A9D2CE19-6C17-48CC-A799-0BBEECDAD778}"/>
    <cellStyle name="Normal 4 4 2 3 2 2 3" xfId="5173" xr:uid="{00000000-0005-0000-0000-00001B150000}"/>
    <cellStyle name="Normal 4 4 2 3 2 2 3 2" xfId="13615" xr:uid="{313F47EE-A8EA-49A0-94A7-01413D9F686F}"/>
    <cellStyle name="Normal 4 4 2 3 2 2 4" xfId="9397" xr:uid="{5193C603-2F74-4EEC-85FD-CE823A960C75}"/>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8D1CA65E-0D67-4325-ADAA-5618C27466BB}"/>
    <cellStyle name="Normal 4 4 2 3 2 3 2 3" xfId="11955" xr:uid="{6894CB78-6008-4A0A-AF07-16B218017314}"/>
    <cellStyle name="Normal 4 4 2 3 2 3 3" xfId="5586" xr:uid="{00000000-0005-0000-0000-00001F150000}"/>
    <cellStyle name="Normal 4 4 2 3 2 3 3 2" xfId="14028" xr:uid="{E022A152-5DFB-481F-A65F-9C381444EE49}"/>
    <cellStyle name="Normal 4 4 2 3 2 3 4" xfId="9810" xr:uid="{DBA1AFAE-6E76-417A-9B7E-C485E8C421D7}"/>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03568415-E434-4BCA-B75B-05F55427432F}"/>
    <cellStyle name="Normal 4 4 2 3 2 4 2 3" xfId="12368" xr:uid="{A167A05B-E4AC-4054-8A20-EB04D5BE9444}"/>
    <cellStyle name="Normal 4 4 2 3 2 4 3" xfId="5999" xr:uid="{00000000-0005-0000-0000-000023150000}"/>
    <cellStyle name="Normal 4 4 2 3 2 4 3 2" xfId="14441" xr:uid="{F592F5B8-DD03-4FD3-8131-F2B8E21E0549}"/>
    <cellStyle name="Normal 4 4 2 3 2 4 4" xfId="10223" xr:uid="{7095AF28-79F2-4113-83B2-6D25B0252095}"/>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8FD257FD-136B-4CAB-A315-505B8C9C3F52}"/>
    <cellStyle name="Normal 4 4 2 3 2 5 2 3" xfId="12781" xr:uid="{9096C1BF-3233-4EC0-9C4C-B2CD0458C697}"/>
    <cellStyle name="Normal 4 4 2 3 2 5 3" xfId="6412" xr:uid="{00000000-0005-0000-0000-000027150000}"/>
    <cellStyle name="Normal 4 4 2 3 2 5 3 2" xfId="14854" xr:uid="{F8B0093A-D8D1-4E70-941F-425570E9A737}"/>
    <cellStyle name="Normal 4 4 2 3 2 5 4" xfId="10636" xr:uid="{6D349A43-3EA7-4386-B148-8F449FD53D7C}"/>
    <cellStyle name="Normal 4 4 2 3 2 6" xfId="2541" xr:uid="{00000000-0005-0000-0000-000028150000}"/>
    <cellStyle name="Normal 4 4 2 3 2 6 2" xfId="6825" xr:uid="{00000000-0005-0000-0000-000029150000}"/>
    <cellStyle name="Normal 4 4 2 3 2 6 2 2" xfId="15267" xr:uid="{96255754-D974-4CF8-BC7D-32F74D86E602}"/>
    <cellStyle name="Normal 4 4 2 3 2 6 3" xfId="11049" xr:uid="{28936B46-E6FE-4F0D-A2B3-3BEC0B35E2E8}"/>
    <cellStyle name="Normal 4 4 2 3 2 7" xfId="4760" xr:uid="{00000000-0005-0000-0000-00002A150000}"/>
    <cellStyle name="Normal 4 4 2 3 2 7 2" xfId="13202" xr:uid="{54467559-CBFC-4C79-858D-B0267ACC6992}"/>
    <cellStyle name="Normal 4 4 2 3 2 8" xfId="8984" xr:uid="{021132B5-924F-4AA2-89F3-1C1BCD1B4D83}"/>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B2A59C4F-9B15-478D-85DA-553312B0C107}"/>
    <cellStyle name="Normal 4 4 2 3 3 2 3" xfId="11541" xr:uid="{3AE8BB0B-53A8-464E-8113-704075136BA9}"/>
    <cellStyle name="Normal 4 4 2 3 3 3" xfId="5172" xr:uid="{00000000-0005-0000-0000-00002E150000}"/>
    <cellStyle name="Normal 4 4 2 3 3 3 2" xfId="13614" xr:uid="{F94DF17E-1D44-459A-9366-D3AC2282C8C6}"/>
    <cellStyle name="Normal 4 4 2 3 3 4" xfId="9396" xr:uid="{D96ED009-8391-4EDC-8A47-73EAF7078678}"/>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CAF8853F-28F5-4752-9931-BEA162789F8D}"/>
    <cellStyle name="Normal 4 4 2 3 4 2 3" xfId="11954" xr:uid="{D88525AE-A2A6-4E22-AF58-4AE62FE11CAD}"/>
    <cellStyle name="Normal 4 4 2 3 4 3" xfId="5585" xr:uid="{00000000-0005-0000-0000-000032150000}"/>
    <cellStyle name="Normal 4 4 2 3 4 3 2" xfId="14027" xr:uid="{0A9DA7C4-936A-42A9-9CC4-F67A4DAE1CE2}"/>
    <cellStyle name="Normal 4 4 2 3 4 4" xfId="9809" xr:uid="{05EF8636-91A5-4132-862E-BB458511A977}"/>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682C2BFB-C0DA-424F-9BF3-D508E6DF44F2}"/>
    <cellStyle name="Normal 4 4 2 3 5 2 3" xfId="12367" xr:uid="{6E34C619-BBAE-45D8-A974-B658437EA086}"/>
    <cellStyle name="Normal 4 4 2 3 5 3" xfId="5998" xr:uid="{00000000-0005-0000-0000-000036150000}"/>
    <cellStyle name="Normal 4 4 2 3 5 3 2" xfId="14440" xr:uid="{ACCE85AF-A6F3-492D-A8C6-182146300B8D}"/>
    <cellStyle name="Normal 4 4 2 3 5 4" xfId="10222" xr:uid="{6D83B98A-C966-4FDB-AF20-B23B970FCE0F}"/>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01F8465A-34FD-48C5-BD39-12E96A2A2473}"/>
    <cellStyle name="Normal 4 4 2 3 6 2 3" xfId="12780" xr:uid="{660221AD-31E5-4AFE-B8C2-D17F09DF7F9B}"/>
    <cellStyle name="Normal 4 4 2 3 6 3" xfId="6411" xr:uid="{00000000-0005-0000-0000-00003A150000}"/>
    <cellStyle name="Normal 4 4 2 3 6 3 2" xfId="14853" xr:uid="{00A62328-F2D6-41DE-8E9E-C15ED5E75396}"/>
    <cellStyle name="Normal 4 4 2 3 6 4" xfId="10635" xr:uid="{E8B9390A-D4AF-4E0C-9369-7D777944D806}"/>
    <cellStyle name="Normal 4 4 2 3 7" xfId="2540" xr:uid="{00000000-0005-0000-0000-00003B150000}"/>
    <cellStyle name="Normal 4 4 2 3 7 2" xfId="6824" xr:uid="{00000000-0005-0000-0000-00003C150000}"/>
    <cellStyle name="Normal 4 4 2 3 7 2 2" xfId="15266" xr:uid="{7E0D5CDF-0B05-444F-97DB-B76C389A0F41}"/>
    <cellStyle name="Normal 4 4 2 3 7 3" xfId="11048" xr:uid="{B6FF9B58-93F4-444D-89A0-6734AD4B9438}"/>
    <cellStyle name="Normal 4 4 2 3 8" xfId="4759" xr:uid="{00000000-0005-0000-0000-00003D150000}"/>
    <cellStyle name="Normal 4 4 2 3 8 2" xfId="13201" xr:uid="{5B1FD91C-D04A-4B87-9055-905DA09B52B0}"/>
    <cellStyle name="Normal 4 4 2 3 9" xfId="8983" xr:uid="{8B236AD9-2546-44CD-8656-7233AB698992}"/>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6495F126-2086-448F-A346-64B9CBEFDF6E}"/>
    <cellStyle name="Normal 4 4 2 4 2 2 3" xfId="11543" xr:uid="{371CC027-A0E5-4568-919E-65111E5CD1F2}"/>
    <cellStyle name="Normal 4 4 2 4 2 3" xfId="5174" xr:uid="{00000000-0005-0000-0000-000042150000}"/>
    <cellStyle name="Normal 4 4 2 4 2 3 2" xfId="13616" xr:uid="{146C7700-9DED-47D5-9DFA-56219F4F7FB0}"/>
    <cellStyle name="Normal 4 4 2 4 2 4" xfId="9398" xr:uid="{E18195E4-CACC-4ED7-8501-2B0F25CB5FC3}"/>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8BAFC6CB-9221-488D-8290-1867E67394FD}"/>
    <cellStyle name="Normal 4 4 2 4 3 2 3" xfId="11956" xr:uid="{6E35AF81-F992-4609-B0EC-4CD0B0219CAF}"/>
    <cellStyle name="Normal 4 4 2 4 3 3" xfId="5587" xr:uid="{00000000-0005-0000-0000-000046150000}"/>
    <cellStyle name="Normal 4 4 2 4 3 3 2" xfId="14029" xr:uid="{986E3D1B-0246-4070-A591-6A8B329A4F06}"/>
    <cellStyle name="Normal 4 4 2 4 3 4" xfId="9811" xr:uid="{C2BFCB76-A975-4270-8636-74F8EF644570}"/>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DDDE571D-02E1-4C19-83A0-57A59D78955D}"/>
    <cellStyle name="Normal 4 4 2 4 4 2 3" xfId="12369" xr:uid="{60D56DAE-60F5-4524-AA08-896226E46C6B}"/>
    <cellStyle name="Normal 4 4 2 4 4 3" xfId="6000" xr:uid="{00000000-0005-0000-0000-00004A150000}"/>
    <cellStyle name="Normal 4 4 2 4 4 3 2" xfId="14442" xr:uid="{4F18F1B0-6EA4-4659-8A23-64C716BDAE8E}"/>
    <cellStyle name="Normal 4 4 2 4 4 4" xfId="10224" xr:uid="{A6CD6DBF-4F66-4839-9D0C-215DCFABD9F6}"/>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F7352C18-FDE7-4420-9FC2-B10302AE3166}"/>
    <cellStyle name="Normal 4 4 2 4 5 2 3" xfId="12782" xr:uid="{EA8800FE-4F8D-4CA6-BA6B-21169606ACC3}"/>
    <cellStyle name="Normal 4 4 2 4 5 3" xfId="6413" xr:uid="{00000000-0005-0000-0000-00004E150000}"/>
    <cellStyle name="Normal 4 4 2 4 5 3 2" xfId="14855" xr:uid="{AE336EBC-55E1-43D7-AC2A-EE95CFF2AAC6}"/>
    <cellStyle name="Normal 4 4 2 4 5 4" xfId="10637" xr:uid="{F18A8BD1-D0F8-4E28-AF54-DE7252C734AF}"/>
    <cellStyle name="Normal 4 4 2 4 6" xfId="2542" xr:uid="{00000000-0005-0000-0000-00004F150000}"/>
    <cellStyle name="Normal 4 4 2 4 6 2" xfId="6826" xr:uid="{00000000-0005-0000-0000-000050150000}"/>
    <cellStyle name="Normal 4 4 2 4 6 2 2" xfId="15268" xr:uid="{99A8D811-916E-4E88-A791-B33ED6756C0A}"/>
    <cellStyle name="Normal 4 4 2 4 6 3" xfId="11050" xr:uid="{65D6FDCB-790B-415D-8590-23670F59F588}"/>
    <cellStyle name="Normal 4 4 2 4 7" xfId="4761" xr:uid="{00000000-0005-0000-0000-000051150000}"/>
    <cellStyle name="Normal 4 4 2 4 7 2" xfId="13203" xr:uid="{E692B006-0026-4AD3-848C-333E19576410}"/>
    <cellStyle name="Normal 4 4 2 4 8" xfId="8985" xr:uid="{290FCC7D-BE7D-493D-A7D3-BC3BE5E22BE0}"/>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BAE17F90-EBCF-4160-BBC1-3435900DEC8E}"/>
    <cellStyle name="Normal 4 4 2 5 2 3" xfId="11536" xr:uid="{DC0402E8-73D2-428D-B15A-20269C6D3B08}"/>
    <cellStyle name="Normal 4 4 2 5 3" xfId="5167" xr:uid="{00000000-0005-0000-0000-000055150000}"/>
    <cellStyle name="Normal 4 4 2 5 3 2" xfId="13609" xr:uid="{3BEC7E33-F1DE-487F-AA34-6839FDC762CA}"/>
    <cellStyle name="Normal 4 4 2 5 4" xfId="9391" xr:uid="{2ECCCB4D-127E-4B69-8800-C3F5AA507364}"/>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A19EDAE0-FF90-4003-9C2D-62391C42DC9D}"/>
    <cellStyle name="Normal 4 4 2 6 2 3" xfId="11949" xr:uid="{149F188F-5829-433E-A4FA-79858D43A8EB}"/>
    <cellStyle name="Normal 4 4 2 6 3" xfId="5580" xr:uid="{00000000-0005-0000-0000-000059150000}"/>
    <cellStyle name="Normal 4 4 2 6 3 2" xfId="14022" xr:uid="{F6BD77D6-B718-4738-8F19-72E07DF35C51}"/>
    <cellStyle name="Normal 4 4 2 6 4" xfId="9804" xr:uid="{679A36A9-E4FF-490B-BC84-7D0DB79CE05F}"/>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A5932F5F-E187-45FE-A9BA-21F9C5FC2B1C}"/>
    <cellStyle name="Normal 4 4 2 7 2 3" xfId="12362" xr:uid="{06492018-59A1-49C9-B6B4-FA9405FA07E4}"/>
    <cellStyle name="Normal 4 4 2 7 3" xfId="5993" xr:uid="{00000000-0005-0000-0000-00005D150000}"/>
    <cellStyle name="Normal 4 4 2 7 3 2" xfId="14435" xr:uid="{7200A320-048A-45F8-96B4-6C8A1A08897F}"/>
    <cellStyle name="Normal 4 4 2 7 4" xfId="10217" xr:uid="{C896A522-55C6-4804-93FD-DACE93C346BD}"/>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BC09ADB8-BD9E-4F92-A34D-C0BCEAEE394C}"/>
    <cellStyle name="Normal 4 4 2 8 2 3" xfId="12775" xr:uid="{C499C3FC-BDA8-4670-A829-E1A966E1EBE3}"/>
    <cellStyle name="Normal 4 4 2 8 3" xfId="6406" xr:uid="{00000000-0005-0000-0000-000061150000}"/>
    <cellStyle name="Normal 4 4 2 8 3 2" xfId="14848" xr:uid="{4A52C767-913F-4251-99F6-7E90656EC0F5}"/>
    <cellStyle name="Normal 4 4 2 8 4" xfId="10630" xr:uid="{18810B6B-728B-4B80-A6A6-0C628AD7EF2B}"/>
    <cellStyle name="Normal 4 4 2 9" xfId="2535" xr:uid="{00000000-0005-0000-0000-000062150000}"/>
    <cellStyle name="Normal 4 4 2 9 2" xfId="6819" xr:uid="{00000000-0005-0000-0000-000063150000}"/>
    <cellStyle name="Normal 4 4 2 9 2 2" xfId="15261" xr:uid="{D6D470D8-BFFE-478A-9CBC-3100B8EA41AE}"/>
    <cellStyle name="Normal 4 4 2 9 3" xfId="11043" xr:uid="{B8B3062A-064A-437A-A2E9-86537BE4E883}"/>
    <cellStyle name="Normal 4 4 3" xfId="387" xr:uid="{00000000-0005-0000-0000-000064150000}"/>
    <cellStyle name="Normal 4 4 3 10" xfId="8986" xr:uid="{F2E90082-F099-41F1-B6D7-236770112894}"/>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995D3A3F-AE29-4956-8B1A-93EE16DECC2F}"/>
    <cellStyle name="Normal 4 4 3 2 2 2 2 3" xfId="11546" xr:uid="{20B8D803-88D0-4351-809A-5FF4CC184475}"/>
    <cellStyle name="Normal 4 4 3 2 2 2 3" xfId="5177" xr:uid="{00000000-0005-0000-0000-00006A150000}"/>
    <cellStyle name="Normal 4 4 3 2 2 2 3 2" xfId="13619" xr:uid="{41EC7C11-539D-4990-97B8-D7A89C45FC57}"/>
    <cellStyle name="Normal 4 4 3 2 2 2 4" xfId="9401" xr:uid="{00C88519-3540-4397-BD4F-6B9D23B5AAA3}"/>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7FABB923-652F-4D4C-85A2-B601DF8C1062}"/>
    <cellStyle name="Normal 4 4 3 2 2 3 2 3" xfId="11959" xr:uid="{FC4EF739-5201-417F-8295-8056C4B35246}"/>
    <cellStyle name="Normal 4 4 3 2 2 3 3" xfId="5590" xr:uid="{00000000-0005-0000-0000-00006E150000}"/>
    <cellStyle name="Normal 4 4 3 2 2 3 3 2" xfId="14032" xr:uid="{5BD2D944-470E-4465-B179-C653335658EB}"/>
    <cellStyle name="Normal 4 4 3 2 2 3 4" xfId="9814" xr:uid="{3EA835C7-6E72-4385-BEDF-A4BD54908984}"/>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3BC61DAB-0CDA-43B6-BF50-9CA6D681E956}"/>
    <cellStyle name="Normal 4 4 3 2 2 4 2 3" xfId="12372" xr:uid="{BEB181B1-5230-428B-A1B2-E9EABAAD0C72}"/>
    <cellStyle name="Normal 4 4 3 2 2 4 3" xfId="6003" xr:uid="{00000000-0005-0000-0000-000072150000}"/>
    <cellStyle name="Normal 4 4 3 2 2 4 3 2" xfId="14445" xr:uid="{A76FBC3F-75C2-459E-820D-F576AF8CD198}"/>
    <cellStyle name="Normal 4 4 3 2 2 4 4" xfId="10227" xr:uid="{D5E1C89C-899E-4F5E-B5FE-47135445346A}"/>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606077DE-6797-4D73-8073-16AAA64E56A4}"/>
    <cellStyle name="Normal 4 4 3 2 2 5 2 3" xfId="12785" xr:uid="{238B00E9-766F-473D-B75F-05353CA14BFA}"/>
    <cellStyle name="Normal 4 4 3 2 2 5 3" xfId="6416" xr:uid="{00000000-0005-0000-0000-000076150000}"/>
    <cellStyle name="Normal 4 4 3 2 2 5 3 2" xfId="14858" xr:uid="{E08466C3-5F09-4EE2-8B8C-8A9783A15986}"/>
    <cellStyle name="Normal 4 4 3 2 2 5 4" xfId="10640" xr:uid="{F48A0BD5-ADE6-490C-9E6A-E7CCA7D36665}"/>
    <cellStyle name="Normal 4 4 3 2 2 6" xfId="2545" xr:uid="{00000000-0005-0000-0000-000077150000}"/>
    <cellStyle name="Normal 4 4 3 2 2 6 2" xfId="6829" xr:uid="{00000000-0005-0000-0000-000078150000}"/>
    <cellStyle name="Normal 4 4 3 2 2 6 2 2" xfId="15271" xr:uid="{723D95C4-461D-498A-AD1E-A48844D59054}"/>
    <cellStyle name="Normal 4 4 3 2 2 6 3" xfId="11053" xr:uid="{92CEB599-E57B-4EBB-AE6D-88B2142A2644}"/>
    <cellStyle name="Normal 4 4 3 2 2 7" xfId="4764" xr:uid="{00000000-0005-0000-0000-000079150000}"/>
    <cellStyle name="Normal 4 4 3 2 2 7 2" xfId="13206" xr:uid="{4057C07D-9634-4217-A89B-D1D77234FD13}"/>
    <cellStyle name="Normal 4 4 3 2 2 8" xfId="8988" xr:uid="{B7B254C5-475B-45D6-A693-47247A67A665}"/>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111E1BDA-093C-4AA8-8BC7-80C44492A374}"/>
    <cellStyle name="Normal 4 4 3 2 3 2 3" xfId="11545" xr:uid="{A9CBF426-B541-4ED9-BD79-54B1BFD691A7}"/>
    <cellStyle name="Normal 4 4 3 2 3 3" xfId="5176" xr:uid="{00000000-0005-0000-0000-00007D150000}"/>
    <cellStyle name="Normal 4 4 3 2 3 3 2" xfId="13618" xr:uid="{3C300229-084B-480D-B651-650D3A00AD0B}"/>
    <cellStyle name="Normal 4 4 3 2 3 4" xfId="9400" xr:uid="{AB1A6E1D-770E-418C-A281-D303FA8CA363}"/>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3F48FFCC-6795-40EF-8E9E-C8117289BE37}"/>
    <cellStyle name="Normal 4 4 3 2 4 2 3" xfId="11958" xr:uid="{D02314C9-1F56-4C49-807E-3B1D5DE239FD}"/>
    <cellStyle name="Normal 4 4 3 2 4 3" xfId="5589" xr:uid="{00000000-0005-0000-0000-000081150000}"/>
    <cellStyle name="Normal 4 4 3 2 4 3 2" xfId="14031" xr:uid="{BDBC93D4-7D3F-4A7E-982F-83EA7CDA1B67}"/>
    <cellStyle name="Normal 4 4 3 2 4 4" xfId="9813" xr:uid="{5C398C6B-8728-41DC-B317-E439D9B58471}"/>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FE447AAB-4836-422D-A0D7-E88A01924BF6}"/>
    <cellStyle name="Normal 4 4 3 2 5 2 3" xfId="12371" xr:uid="{4305D926-34D8-409A-8E03-DDAEB95E156F}"/>
    <cellStyle name="Normal 4 4 3 2 5 3" xfId="6002" xr:uid="{00000000-0005-0000-0000-000085150000}"/>
    <cellStyle name="Normal 4 4 3 2 5 3 2" xfId="14444" xr:uid="{CFA844A7-8A41-41FD-8FD9-3D3C89B4F066}"/>
    <cellStyle name="Normal 4 4 3 2 5 4" xfId="10226" xr:uid="{C537B216-3858-4FBB-BF1C-EDE02BAA465B}"/>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B189F083-5C86-4F4F-B9E1-02C2D3B16696}"/>
    <cellStyle name="Normal 4 4 3 2 6 2 3" xfId="12784" xr:uid="{5E2DC320-5456-418F-A79F-BD69044162DB}"/>
    <cellStyle name="Normal 4 4 3 2 6 3" xfId="6415" xr:uid="{00000000-0005-0000-0000-000089150000}"/>
    <cellStyle name="Normal 4 4 3 2 6 3 2" xfId="14857" xr:uid="{BC725886-30EA-4219-8701-E00FDE4AB9F5}"/>
    <cellStyle name="Normal 4 4 3 2 6 4" xfId="10639" xr:uid="{3994957A-7A7E-48B4-A52E-ACB3780BE34C}"/>
    <cellStyle name="Normal 4 4 3 2 7" xfId="2544" xr:uid="{00000000-0005-0000-0000-00008A150000}"/>
    <cellStyle name="Normal 4 4 3 2 7 2" xfId="6828" xr:uid="{00000000-0005-0000-0000-00008B150000}"/>
    <cellStyle name="Normal 4 4 3 2 7 2 2" xfId="15270" xr:uid="{FF5912B1-771C-422C-9BD2-AD1FFAAD6D04}"/>
    <cellStyle name="Normal 4 4 3 2 7 3" xfId="11052" xr:uid="{F6BE5989-4AA6-473D-AFB9-3860FBA70EC6}"/>
    <cellStyle name="Normal 4 4 3 2 8" xfId="4763" xr:uid="{00000000-0005-0000-0000-00008C150000}"/>
    <cellStyle name="Normal 4 4 3 2 8 2" xfId="13205" xr:uid="{7E318363-F916-4784-87D9-C58DD108F1D1}"/>
    <cellStyle name="Normal 4 4 3 2 9" xfId="8987" xr:uid="{CBC06853-C9B8-4BD4-94DF-B43BD16B8749}"/>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12FD661E-9AC8-4644-9CF1-638AFF3F213A}"/>
    <cellStyle name="Normal 4 4 3 3 2 2 3" xfId="11547" xr:uid="{8E5E4571-4F59-4978-A105-DD2CBA497B9B}"/>
    <cellStyle name="Normal 4 4 3 3 2 3" xfId="5178" xr:uid="{00000000-0005-0000-0000-000091150000}"/>
    <cellStyle name="Normal 4 4 3 3 2 3 2" xfId="13620" xr:uid="{993772A1-FD4E-4C68-AC2D-BF3CE5986A2D}"/>
    <cellStyle name="Normal 4 4 3 3 2 4" xfId="9402" xr:uid="{956D3D09-2225-4C0B-8C43-CC981308B0BE}"/>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25FA9101-B6B8-4134-A344-28EF897D6670}"/>
    <cellStyle name="Normal 4 4 3 3 3 2 3" xfId="11960" xr:uid="{7BC35437-343C-41E1-B162-3E7F1E2D5CA0}"/>
    <cellStyle name="Normal 4 4 3 3 3 3" xfId="5591" xr:uid="{00000000-0005-0000-0000-000095150000}"/>
    <cellStyle name="Normal 4 4 3 3 3 3 2" xfId="14033" xr:uid="{7B8045D4-637C-479E-95CA-48C232DC137F}"/>
    <cellStyle name="Normal 4 4 3 3 3 4" xfId="9815" xr:uid="{C260AAFE-E8E4-4900-8125-BB4CFE52B763}"/>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15FEDA0C-0FDE-4567-8A8C-0FD790C7E76A}"/>
    <cellStyle name="Normal 4 4 3 3 4 2 3" xfId="12373" xr:uid="{9504BEFA-46CB-4A36-BA86-CFD5F7A22842}"/>
    <cellStyle name="Normal 4 4 3 3 4 3" xfId="6004" xr:uid="{00000000-0005-0000-0000-000099150000}"/>
    <cellStyle name="Normal 4 4 3 3 4 3 2" xfId="14446" xr:uid="{EC82446F-95DD-4CA5-8BE7-9DD488545869}"/>
    <cellStyle name="Normal 4 4 3 3 4 4" xfId="10228" xr:uid="{327E36E5-69CE-45F5-A4AE-E10B34725D9F}"/>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ECB1A9A8-DBCF-4397-8B22-1549EE25FB89}"/>
    <cellStyle name="Normal 4 4 3 3 5 2 3" xfId="12786" xr:uid="{81579FEF-71A2-46C4-B64C-19924EC74525}"/>
    <cellStyle name="Normal 4 4 3 3 5 3" xfId="6417" xr:uid="{00000000-0005-0000-0000-00009D150000}"/>
    <cellStyle name="Normal 4 4 3 3 5 3 2" xfId="14859" xr:uid="{451A6023-051B-446D-BDA7-A8CB2D626BCE}"/>
    <cellStyle name="Normal 4 4 3 3 5 4" xfId="10641" xr:uid="{3584DB3D-D481-4099-8D7A-97A3745F585D}"/>
    <cellStyle name="Normal 4 4 3 3 6" xfId="2546" xr:uid="{00000000-0005-0000-0000-00009E150000}"/>
    <cellStyle name="Normal 4 4 3 3 6 2" xfId="6830" xr:uid="{00000000-0005-0000-0000-00009F150000}"/>
    <cellStyle name="Normal 4 4 3 3 6 2 2" xfId="15272" xr:uid="{1C9EC98C-0F03-41AB-BC59-EDE42C9E4C81}"/>
    <cellStyle name="Normal 4 4 3 3 6 3" xfId="11054" xr:uid="{1A7BFCF5-800D-46C4-8FBF-928D9A01E910}"/>
    <cellStyle name="Normal 4 4 3 3 7" xfId="4765" xr:uid="{00000000-0005-0000-0000-0000A0150000}"/>
    <cellStyle name="Normal 4 4 3 3 7 2" xfId="13207" xr:uid="{3CDC9E1A-CF61-41AA-B513-C5F9CF2CF7D0}"/>
    <cellStyle name="Normal 4 4 3 3 8" xfId="8989" xr:uid="{56DF72B1-EF97-49CB-9020-7039BD624E24}"/>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44711901-1476-4BF5-BE11-2580A3741CA0}"/>
    <cellStyle name="Normal 4 4 3 4 2 3" xfId="11544" xr:uid="{872FB3AE-A6F8-4FE7-B614-6F2D343A4638}"/>
    <cellStyle name="Normal 4 4 3 4 3" xfId="5175" xr:uid="{00000000-0005-0000-0000-0000A4150000}"/>
    <cellStyle name="Normal 4 4 3 4 3 2" xfId="13617" xr:uid="{5732F1D6-65EF-45D9-939E-7DFD03FF7B46}"/>
    <cellStyle name="Normal 4 4 3 4 4" xfId="9399" xr:uid="{56502114-2DF1-4A00-874E-041E1E79B65F}"/>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945EB3B6-9BB6-457B-B6BC-780BBD9260AA}"/>
    <cellStyle name="Normal 4 4 3 5 2 3" xfId="11957" xr:uid="{A9C9DC2B-5275-44BC-99C0-2E4B305F0C74}"/>
    <cellStyle name="Normal 4 4 3 5 3" xfId="5588" xr:uid="{00000000-0005-0000-0000-0000A8150000}"/>
    <cellStyle name="Normal 4 4 3 5 3 2" xfId="14030" xr:uid="{33A99ABB-0113-4A93-BC7F-59919527BD9C}"/>
    <cellStyle name="Normal 4 4 3 5 4" xfId="9812" xr:uid="{B7FDBA48-5E15-4538-8F60-6B58D262899E}"/>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33E2921B-CA35-4C3A-9B05-88CE057915C2}"/>
    <cellStyle name="Normal 4 4 3 6 2 3" xfId="12370" xr:uid="{2B331FBC-8A73-42E7-B589-92AE2D9DA4E0}"/>
    <cellStyle name="Normal 4 4 3 6 3" xfId="6001" xr:uid="{00000000-0005-0000-0000-0000AC150000}"/>
    <cellStyle name="Normal 4 4 3 6 3 2" xfId="14443" xr:uid="{C32BCFC3-0EB0-4D2D-821C-3198B31A874C}"/>
    <cellStyle name="Normal 4 4 3 6 4" xfId="10225" xr:uid="{A0118E3F-E6B2-479E-A197-D295939ACA59}"/>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EB6659DF-0235-4A9A-9990-6CF0547A75CC}"/>
    <cellStyle name="Normal 4 4 3 7 2 3" xfId="12783" xr:uid="{02EEB0BC-187C-4098-80EF-EEB8E0114837}"/>
    <cellStyle name="Normal 4 4 3 7 3" xfId="6414" xr:uid="{00000000-0005-0000-0000-0000B0150000}"/>
    <cellStyle name="Normal 4 4 3 7 3 2" xfId="14856" xr:uid="{8DA11564-2F92-4307-84FE-75B7629530C1}"/>
    <cellStyle name="Normal 4 4 3 7 4" xfId="10638" xr:uid="{03D9B939-DD0C-406E-87FB-D84A5295EB9C}"/>
    <cellStyle name="Normal 4 4 3 8" xfId="2543" xr:uid="{00000000-0005-0000-0000-0000B1150000}"/>
    <cellStyle name="Normal 4 4 3 8 2" xfId="6827" xr:uid="{00000000-0005-0000-0000-0000B2150000}"/>
    <cellStyle name="Normal 4 4 3 8 2 2" xfId="15269" xr:uid="{B0BAE929-8B40-4B53-9C52-6A7025DD6F5B}"/>
    <cellStyle name="Normal 4 4 3 8 3" xfId="11051" xr:uid="{8D874446-734B-43F4-AC70-21C4F86B4251}"/>
    <cellStyle name="Normal 4 4 3 9" xfId="4762" xr:uid="{00000000-0005-0000-0000-0000B3150000}"/>
    <cellStyle name="Normal 4 4 3 9 2" xfId="13204" xr:uid="{CDA95B5F-E7F1-4626-9FCF-C63FED32EC17}"/>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6EC70C28-29CD-48F2-849D-7C5C6FDF9C7B}"/>
    <cellStyle name="Normal 4 4 4 2 2 2 3" xfId="11549" xr:uid="{FAD2DE3D-32DF-4CB2-A5D7-003062CB0962}"/>
    <cellStyle name="Normal 4 4 4 2 2 3" xfId="5180" xr:uid="{00000000-0005-0000-0000-0000B9150000}"/>
    <cellStyle name="Normal 4 4 4 2 2 3 2" xfId="13622" xr:uid="{13B39011-796B-4136-A859-373A595B1B57}"/>
    <cellStyle name="Normal 4 4 4 2 2 4" xfId="9404" xr:uid="{DE9F178D-9AF7-4720-8B88-6FAFDF6BA38A}"/>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B754AA7C-8CD6-482D-A43B-D41B456C9E91}"/>
    <cellStyle name="Normal 4 4 4 2 3 2 3" xfId="11962" xr:uid="{DE2541DE-ED91-402C-9F08-F1E8D01EBB8D}"/>
    <cellStyle name="Normal 4 4 4 2 3 3" xfId="5593" xr:uid="{00000000-0005-0000-0000-0000BD150000}"/>
    <cellStyle name="Normal 4 4 4 2 3 3 2" xfId="14035" xr:uid="{06163F71-DFA7-488D-803B-9D40219CE799}"/>
    <cellStyle name="Normal 4 4 4 2 3 4" xfId="9817" xr:uid="{62211BD4-C9A1-4DD6-8171-CC111EB079FF}"/>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8445736B-D7AE-4293-8F5A-04BD393AE2B1}"/>
    <cellStyle name="Normal 4 4 4 2 4 2 3" xfId="12375" xr:uid="{48C0943E-D968-43FE-9149-C130E024D2B8}"/>
    <cellStyle name="Normal 4 4 4 2 4 3" xfId="6006" xr:uid="{00000000-0005-0000-0000-0000C1150000}"/>
    <cellStyle name="Normal 4 4 4 2 4 3 2" xfId="14448" xr:uid="{47F5F725-7C65-40D4-AA4B-3E23E82A7F17}"/>
    <cellStyle name="Normal 4 4 4 2 4 4" xfId="10230" xr:uid="{73BFB986-5549-456C-8C44-8E10AF5482F9}"/>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4573D358-7970-4637-9CD8-DD09A4101CE2}"/>
    <cellStyle name="Normal 4 4 4 2 5 2 3" xfId="12788" xr:uid="{CFCADFA6-D3F0-4B26-9EA8-8785AF895E38}"/>
    <cellStyle name="Normal 4 4 4 2 5 3" xfId="6419" xr:uid="{00000000-0005-0000-0000-0000C5150000}"/>
    <cellStyle name="Normal 4 4 4 2 5 3 2" xfId="14861" xr:uid="{2EAA76F9-4549-43DD-80E5-C91E7AAB16DD}"/>
    <cellStyle name="Normal 4 4 4 2 5 4" xfId="10643" xr:uid="{846DECBC-8D60-4414-A699-E88EBE5859C5}"/>
    <cellStyle name="Normal 4 4 4 2 6" xfId="2548" xr:uid="{00000000-0005-0000-0000-0000C6150000}"/>
    <cellStyle name="Normal 4 4 4 2 6 2" xfId="6832" xr:uid="{00000000-0005-0000-0000-0000C7150000}"/>
    <cellStyle name="Normal 4 4 4 2 6 2 2" xfId="15274" xr:uid="{4699A456-1021-4C9C-B71C-D2F4B05E9251}"/>
    <cellStyle name="Normal 4 4 4 2 6 3" xfId="11056" xr:uid="{D799C50B-BFB4-4E2F-B91E-B168E14E295C}"/>
    <cellStyle name="Normal 4 4 4 2 7" xfId="4767" xr:uid="{00000000-0005-0000-0000-0000C8150000}"/>
    <cellStyle name="Normal 4 4 4 2 7 2" xfId="13209" xr:uid="{F3ECAE9F-057E-442C-AB48-F7D4BE3447E6}"/>
    <cellStyle name="Normal 4 4 4 2 8" xfId="8991" xr:uid="{E1A7D509-1853-4103-9251-9E19EF11A17E}"/>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A23F11BA-52EF-4EA9-BBC2-256B198E3DAC}"/>
    <cellStyle name="Normal 4 4 4 3 2 3" xfId="11548" xr:uid="{87CFEF95-DEE0-4553-AC1C-D86542606F3C}"/>
    <cellStyle name="Normal 4 4 4 3 3" xfId="5179" xr:uid="{00000000-0005-0000-0000-0000CC150000}"/>
    <cellStyle name="Normal 4 4 4 3 3 2" xfId="13621" xr:uid="{25455887-8D72-4ED3-AC76-28E4A8FB0A01}"/>
    <cellStyle name="Normal 4 4 4 3 4" xfId="9403" xr:uid="{425BD435-BE5B-43FE-AC47-8390799ADA71}"/>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4F3271A3-A982-444D-96B7-D124C87F5825}"/>
    <cellStyle name="Normal 4 4 4 4 2 3" xfId="11961" xr:uid="{EA8B63BF-10C4-43C0-95F5-7D75CB1B3730}"/>
    <cellStyle name="Normal 4 4 4 4 3" xfId="5592" xr:uid="{00000000-0005-0000-0000-0000D0150000}"/>
    <cellStyle name="Normal 4 4 4 4 3 2" xfId="14034" xr:uid="{9E8DD0C4-D2EF-4F2F-BF37-B3FB49DF6365}"/>
    <cellStyle name="Normal 4 4 4 4 4" xfId="9816" xr:uid="{81ADAABF-8683-41CB-909D-1F36F77208BB}"/>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C9867427-BF1C-4E84-BF1D-F3F3A216E446}"/>
    <cellStyle name="Normal 4 4 4 5 2 3" xfId="12374" xr:uid="{DCF6A2F5-27FF-4907-BCB8-672205925975}"/>
    <cellStyle name="Normal 4 4 4 5 3" xfId="6005" xr:uid="{00000000-0005-0000-0000-0000D4150000}"/>
    <cellStyle name="Normal 4 4 4 5 3 2" xfId="14447" xr:uid="{355E3CBB-716A-408A-B506-2AC4EFCAF75B}"/>
    <cellStyle name="Normal 4 4 4 5 4" xfId="10229" xr:uid="{00A44024-172D-4192-8A35-3B8EEC2E40F8}"/>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534D11ED-99CA-4901-9786-9D8C32DE8B3E}"/>
    <cellStyle name="Normal 4 4 4 6 2 3" xfId="12787" xr:uid="{7CAA32AB-118D-4288-98C1-AE123D1CD8E1}"/>
    <cellStyle name="Normal 4 4 4 6 3" xfId="6418" xr:uid="{00000000-0005-0000-0000-0000D8150000}"/>
    <cellStyle name="Normal 4 4 4 6 3 2" xfId="14860" xr:uid="{CC44E94B-B5D3-4B55-B52A-59CAA06DE0D9}"/>
    <cellStyle name="Normal 4 4 4 6 4" xfId="10642" xr:uid="{3A40CBB7-B6B1-4E04-8885-6C9A013D196C}"/>
    <cellStyle name="Normal 4 4 4 7" xfId="2547" xr:uid="{00000000-0005-0000-0000-0000D9150000}"/>
    <cellStyle name="Normal 4 4 4 7 2" xfId="6831" xr:uid="{00000000-0005-0000-0000-0000DA150000}"/>
    <cellStyle name="Normal 4 4 4 7 2 2" xfId="15273" xr:uid="{4A240CBC-C794-418B-B2AA-22E6845B6F73}"/>
    <cellStyle name="Normal 4 4 4 7 3" xfId="11055" xr:uid="{C9B8B4EE-3F4A-4D37-8250-B5D19283AFE3}"/>
    <cellStyle name="Normal 4 4 4 8" xfId="4766" xr:uid="{00000000-0005-0000-0000-0000DB150000}"/>
    <cellStyle name="Normal 4 4 4 8 2" xfId="13208" xr:uid="{A289B0BA-04A3-4C54-96EB-C79F61BC8A08}"/>
    <cellStyle name="Normal 4 4 4 9" xfId="8990" xr:uid="{4B8CDDA3-A76B-4046-964E-3FE2AB3F4E6E}"/>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3900651C-BE75-4267-A684-599136EF83DB}"/>
    <cellStyle name="Normal 4 4 5 2 2 3" xfId="11550" xr:uid="{B3F44287-9105-453B-9760-AC4EC2F8D19A}"/>
    <cellStyle name="Normal 4 4 5 2 3" xfId="5181" xr:uid="{00000000-0005-0000-0000-0000E0150000}"/>
    <cellStyle name="Normal 4 4 5 2 3 2" xfId="13623" xr:uid="{2EE22337-5CF5-4CFD-965E-65D6EC69B1FB}"/>
    <cellStyle name="Normal 4 4 5 2 4" xfId="9405" xr:uid="{BB3021D5-92DA-4062-9983-150520C28D47}"/>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EC4E7319-D1CF-4806-A30D-74CF6C35CD2F}"/>
    <cellStyle name="Normal 4 4 5 3 2 3" xfId="11963" xr:uid="{FA510EF9-EE80-4AD8-BE03-BC947E707785}"/>
    <cellStyle name="Normal 4 4 5 3 3" xfId="5594" xr:uid="{00000000-0005-0000-0000-0000E4150000}"/>
    <cellStyle name="Normal 4 4 5 3 3 2" xfId="14036" xr:uid="{36094B63-7DD2-49DB-8904-6CBCA7063A95}"/>
    <cellStyle name="Normal 4 4 5 3 4" xfId="9818" xr:uid="{38CFAF66-EE88-4FF0-B7A9-739ED3874627}"/>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0572D0E2-0F3D-489E-92FE-562EFF2F731A}"/>
    <cellStyle name="Normal 4 4 5 4 2 3" xfId="12376" xr:uid="{E704CE1E-3729-414B-86E0-CED757B79A8C}"/>
    <cellStyle name="Normal 4 4 5 4 3" xfId="6007" xr:uid="{00000000-0005-0000-0000-0000E8150000}"/>
    <cellStyle name="Normal 4 4 5 4 3 2" xfId="14449" xr:uid="{226F4F34-C7C7-487C-89C7-6A7C7A8A3E56}"/>
    <cellStyle name="Normal 4 4 5 4 4" xfId="10231" xr:uid="{4165E6FB-C16A-4F86-B162-8F98407ECA9C}"/>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9FCB22ED-59D4-4749-90C7-EA6CB869E06F}"/>
    <cellStyle name="Normal 4 4 5 5 2 3" xfId="12789" xr:uid="{17DF4B02-AC33-421C-98E9-49F0FB04B715}"/>
    <cellStyle name="Normal 4 4 5 5 3" xfId="6420" xr:uid="{00000000-0005-0000-0000-0000EC150000}"/>
    <cellStyle name="Normal 4 4 5 5 3 2" xfId="14862" xr:uid="{962FD6BF-0CC6-4A54-8EDD-02231B8F5E96}"/>
    <cellStyle name="Normal 4 4 5 5 4" xfId="10644" xr:uid="{5011C820-71D6-453A-BF23-1685665FD930}"/>
    <cellStyle name="Normal 4 4 5 6" xfId="2549" xr:uid="{00000000-0005-0000-0000-0000ED150000}"/>
    <cellStyle name="Normal 4 4 5 6 2" xfId="6833" xr:uid="{00000000-0005-0000-0000-0000EE150000}"/>
    <cellStyle name="Normal 4 4 5 6 2 2" xfId="15275" xr:uid="{F75AF387-7290-4215-A04E-459773C0C221}"/>
    <cellStyle name="Normal 4 4 5 6 3" xfId="11057" xr:uid="{E0B0D905-6DCF-401C-83A4-918C8A2ECD84}"/>
    <cellStyle name="Normal 4 4 5 7" xfId="4768" xr:uid="{00000000-0005-0000-0000-0000EF150000}"/>
    <cellStyle name="Normal 4 4 5 7 2" xfId="13210" xr:uid="{D4EE5C3D-BB57-4A9C-9FA2-E273A31255DB}"/>
    <cellStyle name="Normal 4 4 5 8" xfId="8992" xr:uid="{9F8B6282-4596-44AC-B9FE-38681EA11016}"/>
    <cellStyle name="Normal 4 4 6" xfId="853" xr:uid="{00000000-0005-0000-0000-0000F0150000}"/>
    <cellStyle name="Normal 4 4 6 2" xfId="3088" xr:uid="{00000000-0005-0000-0000-0000F1150000}"/>
    <cellStyle name="Normal 4 4 6 2 2" xfId="7311" xr:uid="{00000000-0005-0000-0000-0000F2150000}"/>
    <cellStyle name="Normal 4 4 6 2 2 2" xfId="15753" xr:uid="{D02976EA-49B3-4F06-8989-B65D19B1CA24}"/>
    <cellStyle name="Normal 4 4 6 2 3" xfId="11535" xr:uid="{6D28F246-9350-4245-8503-C23FFEC29F0A}"/>
    <cellStyle name="Normal 4 4 6 3" xfId="5166" xr:uid="{00000000-0005-0000-0000-0000F3150000}"/>
    <cellStyle name="Normal 4 4 6 3 2" xfId="13608" xr:uid="{FC8777C5-54BD-417D-86D4-5C4A1D3D857F}"/>
    <cellStyle name="Normal 4 4 6 4" xfId="9390" xr:uid="{91EE2F63-3F14-4B59-83D9-08A7F69AE8C5}"/>
    <cellStyle name="Normal 4 4 7" xfId="1271" xr:uid="{00000000-0005-0000-0000-0000F4150000}"/>
    <cellStyle name="Normal 4 4 7 2" xfId="3501" xr:uid="{00000000-0005-0000-0000-0000F5150000}"/>
    <cellStyle name="Normal 4 4 7 2 2" xfId="7724" xr:uid="{00000000-0005-0000-0000-0000F6150000}"/>
    <cellStyle name="Normal 4 4 7 2 2 2" xfId="16166" xr:uid="{D649C2FD-3348-47D6-9059-9911CB5ECCDC}"/>
    <cellStyle name="Normal 4 4 7 2 3" xfId="11948" xr:uid="{69A90C14-F92E-4718-826D-D629443B15C4}"/>
    <cellStyle name="Normal 4 4 7 3" xfId="5579" xr:uid="{00000000-0005-0000-0000-0000F7150000}"/>
    <cellStyle name="Normal 4 4 7 3 2" xfId="14021" xr:uid="{9C64479F-0C2B-4400-AABA-EA71F2355500}"/>
    <cellStyle name="Normal 4 4 7 4" xfId="9803" xr:uid="{C6ED98A2-62F8-4C73-B460-E346D7902C11}"/>
    <cellStyle name="Normal 4 4 8" xfId="1684" xr:uid="{00000000-0005-0000-0000-0000F8150000}"/>
    <cellStyle name="Normal 4 4 8 2" xfId="3914" xr:uid="{00000000-0005-0000-0000-0000F9150000}"/>
    <cellStyle name="Normal 4 4 8 2 2" xfId="8137" xr:uid="{00000000-0005-0000-0000-0000FA150000}"/>
    <cellStyle name="Normal 4 4 8 2 2 2" xfId="16579" xr:uid="{2DE03F3F-F95C-46DF-91E5-DF5B01A2BF4E}"/>
    <cellStyle name="Normal 4 4 8 2 3" xfId="12361" xr:uid="{9D1EE6F1-AE5A-4144-9686-3EA76E1AFA6A}"/>
    <cellStyle name="Normal 4 4 8 3" xfId="5992" xr:uid="{00000000-0005-0000-0000-0000FB150000}"/>
    <cellStyle name="Normal 4 4 8 3 2" xfId="14434" xr:uid="{4BF843A4-F293-4B4C-B7A2-F6DE19ED47D7}"/>
    <cellStyle name="Normal 4 4 8 4" xfId="10216" xr:uid="{A70B7792-E689-443E-AB04-F79070FC285C}"/>
    <cellStyle name="Normal 4 4 9" xfId="2098" xr:uid="{00000000-0005-0000-0000-0000FC150000}"/>
    <cellStyle name="Normal 4 4 9 2" xfId="4327" xr:uid="{00000000-0005-0000-0000-0000FD150000}"/>
    <cellStyle name="Normal 4 4 9 2 2" xfId="8550" xr:uid="{00000000-0005-0000-0000-0000FE150000}"/>
    <cellStyle name="Normal 4 4 9 2 2 2" xfId="16992" xr:uid="{41F68130-D64E-4E4B-AE0D-97AAA016CB48}"/>
    <cellStyle name="Normal 4 4 9 2 3" xfId="12774" xr:uid="{35EC956A-ACD3-4D4F-BA2F-DA90F9981CEA}"/>
    <cellStyle name="Normal 4 4 9 3" xfId="6405" xr:uid="{00000000-0005-0000-0000-0000FF150000}"/>
    <cellStyle name="Normal 4 4 9 3 2" xfId="14847" xr:uid="{7B606ADA-36AA-4E3E-B712-4C9D2115F6A5}"/>
    <cellStyle name="Normal 4 4 9 4" xfId="10629" xr:uid="{4D9DE394-1D31-48F2-AB35-E8AE034771E3}"/>
    <cellStyle name="Normal 4 5" xfId="394" xr:uid="{00000000-0005-0000-0000-000000160000}"/>
    <cellStyle name="Normal 4 6" xfId="395" xr:uid="{00000000-0005-0000-0000-000001160000}"/>
    <cellStyle name="Normal 4 6 10" xfId="4769" xr:uid="{00000000-0005-0000-0000-000002160000}"/>
    <cellStyle name="Normal 4 6 10 2" xfId="13211" xr:uid="{42C0E8A5-B522-4A04-A2FD-33E73BC95E25}"/>
    <cellStyle name="Normal 4 6 11" xfId="8993" xr:uid="{EAA61D35-73B2-4FCB-B00B-307B6271E119}"/>
    <cellStyle name="Normal 4 6 2" xfId="396" xr:uid="{00000000-0005-0000-0000-000003160000}"/>
    <cellStyle name="Normal 4 6 2 10" xfId="8994" xr:uid="{A2D124C5-1311-44F8-8A08-3BAB24A1D3E6}"/>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2C2417E2-DB39-4591-B639-0C8CC6F1AD4B}"/>
    <cellStyle name="Normal 4 6 2 2 2 2 2 3" xfId="11554" xr:uid="{5B6FF4B3-865A-459A-95F7-715449651151}"/>
    <cellStyle name="Normal 4 6 2 2 2 2 3" xfId="5185" xr:uid="{00000000-0005-0000-0000-000009160000}"/>
    <cellStyle name="Normal 4 6 2 2 2 2 3 2" xfId="13627" xr:uid="{B763ACAA-DDDB-44CC-8B1E-C2C8878DC713}"/>
    <cellStyle name="Normal 4 6 2 2 2 2 4" xfId="9409" xr:uid="{AC3CAF86-5BD8-4644-BFD5-2F320DABA902}"/>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2590AB84-BC0B-46E5-A4B6-9F2BD91E25B7}"/>
    <cellStyle name="Normal 4 6 2 2 2 3 2 3" xfId="11967" xr:uid="{95AAE036-1AC8-44DA-9570-3AA1FA2E3CAA}"/>
    <cellStyle name="Normal 4 6 2 2 2 3 3" xfId="5598" xr:uid="{00000000-0005-0000-0000-00000D160000}"/>
    <cellStyle name="Normal 4 6 2 2 2 3 3 2" xfId="14040" xr:uid="{39B3F573-FCEF-4EAE-93C0-A6E128A5A78F}"/>
    <cellStyle name="Normal 4 6 2 2 2 3 4" xfId="9822" xr:uid="{01832A05-F417-48FF-8690-52C71050273A}"/>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3FE3E693-537C-431B-92BC-792DCFC2AAB8}"/>
    <cellStyle name="Normal 4 6 2 2 2 4 2 3" xfId="12380" xr:uid="{4C82434B-E88B-4D1F-96B6-BF41408B9B23}"/>
    <cellStyle name="Normal 4 6 2 2 2 4 3" xfId="6011" xr:uid="{00000000-0005-0000-0000-000011160000}"/>
    <cellStyle name="Normal 4 6 2 2 2 4 3 2" xfId="14453" xr:uid="{3959B019-06E9-4E1B-A758-0ADD8F9B9329}"/>
    <cellStyle name="Normal 4 6 2 2 2 4 4" xfId="10235" xr:uid="{86DB99E6-C671-4375-9950-91F7443C8BC9}"/>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234A9966-5B80-41AA-ACB0-06C88609E2A5}"/>
    <cellStyle name="Normal 4 6 2 2 2 5 2 3" xfId="12793" xr:uid="{70841808-6D0C-4502-AB0B-03B0078B9375}"/>
    <cellStyle name="Normal 4 6 2 2 2 5 3" xfId="6424" xr:uid="{00000000-0005-0000-0000-000015160000}"/>
    <cellStyle name="Normal 4 6 2 2 2 5 3 2" xfId="14866" xr:uid="{4B50ADEE-574C-407D-B6E1-7054431E2425}"/>
    <cellStyle name="Normal 4 6 2 2 2 5 4" xfId="10648" xr:uid="{D89CD03A-1F9D-4C20-B7FE-5894B95B93EC}"/>
    <cellStyle name="Normal 4 6 2 2 2 6" xfId="2553" xr:uid="{00000000-0005-0000-0000-000016160000}"/>
    <cellStyle name="Normal 4 6 2 2 2 6 2" xfId="6837" xr:uid="{00000000-0005-0000-0000-000017160000}"/>
    <cellStyle name="Normal 4 6 2 2 2 6 2 2" xfId="15279" xr:uid="{8842CC8C-201F-41B3-B3F3-2881DC622C27}"/>
    <cellStyle name="Normal 4 6 2 2 2 6 3" xfId="11061" xr:uid="{5C15F483-B585-469C-BA81-A8F405DBEB7A}"/>
    <cellStyle name="Normal 4 6 2 2 2 7" xfId="4772" xr:uid="{00000000-0005-0000-0000-000018160000}"/>
    <cellStyle name="Normal 4 6 2 2 2 7 2" xfId="13214" xr:uid="{FD42873D-F5ED-4BED-A772-12D23D276DE2}"/>
    <cellStyle name="Normal 4 6 2 2 2 8" xfId="8996" xr:uid="{A4ABF9C8-5977-4B05-95B7-E5C25ACD1BC8}"/>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D36A2A09-76B6-49CB-8815-378F084A2551}"/>
    <cellStyle name="Normal 4 6 2 2 3 2 3" xfId="11553" xr:uid="{34C7F90D-9BB3-4473-A3E7-304D16F9042A}"/>
    <cellStyle name="Normal 4 6 2 2 3 3" xfId="5184" xr:uid="{00000000-0005-0000-0000-00001C160000}"/>
    <cellStyle name="Normal 4 6 2 2 3 3 2" xfId="13626" xr:uid="{006FAD16-C45B-45D0-9E5F-502802495C5A}"/>
    <cellStyle name="Normal 4 6 2 2 3 4" xfId="9408" xr:uid="{CBB416B4-B61E-41BD-85B4-CCB3BB43B840}"/>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1D8A0060-5B2E-4702-8856-6886BD225A99}"/>
    <cellStyle name="Normal 4 6 2 2 4 2 3" xfId="11966" xr:uid="{2715D59C-23ED-44B5-B76C-A607533BACEC}"/>
    <cellStyle name="Normal 4 6 2 2 4 3" xfId="5597" xr:uid="{00000000-0005-0000-0000-000020160000}"/>
    <cellStyle name="Normal 4 6 2 2 4 3 2" xfId="14039" xr:uid="{4C7A55F5-DCC9-43E8-9A51-9B03C81285B3}"/>
    <cellStyle name="Normal 4 6 2 2 4 4" xfId="9821" xr:uid="{20FDD3E4-F3DC-4637-A5E4-22F6F45D5966}"/>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50F32022-FE94-4D5E-9350-9DE64FE66CE2}"/>
    <cellStyle name="Normal 4 6 2 2 5 2 3" xfId="12379" xr:uid="{41FFF6BE-BCAA-4D39-9C05-6EBEC011A9D5}"/>
    <cellStyle name="Normal 4 6 2 2 5 3" xfId="6010" xr:uid="{00000000-0005-0000-0000-000024160000}"/>
    <cellStyle name="Normal 4 6 2 2 5 3 2" xfId="14452" xr:uid="{2A7B75FE-A4E2-4FAE-9D5E-12A445490ADB}"/>
    <cellStyle name="Normal 4 6 2 2 5 4" xfId="10234" xr:uid="{1B01D5B3-1561-4378-99FF-09FF06834DF2}"/>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3BABBE04-1D1F-4578-A33D-5469094C1314}"/>
    <cellStyle name="Normal 4 6 2 2 6 2 3" xfId="12792" xr:uid="{CAC3847A-2CF6-44BA-9D5F-06FF0C73229F}"/>
    <cellStyle name="Normal 4 6 2 2 6 3" xfId="6423" xr:uid="{00000000-0005-0000-0000-000028160000}"/>
    <cellStyle name="Normal 4 6 2 2 6 3 2" xfId="14865" xr:uid="{F05BA3D7-503D-44DD-BB0F-D155A6118AE7}"/>
    <cellStyle name="Normal 4 6 2 2 6 4" xfId="10647" xr:uid="{BDD95F6E-EFCD-4527-BC6A-A4C41028A4F4}"/>
    <cellStyle name="Normal 4 6 2 2 7" xfId="2552" xr:uid="{00000000-0005-0000-0000-000029160000}"/>
    <cellStyle name="Normal 4 6 2 2 7 2" xfId="6836" xr:uid="{00000000-0005-0000-0000-00002A160000}"/>
    <cellStyle name="Normal 4 6 2 2 7 2 2" xfId="15278" xr:uid="{04E1C9EB-2414-4CEA-952E-74D0A2FBF6EB}"/>
    <cellStyle name="Normal 4 6 2 2 7 3" xfId="11060" xr:uid="{3B9C60F9-A609-4235-8AA8-F4C1C6C58144}"/>
    <cellStyle name="Normal 4 6 2 2 8" xfId="4771" xr:uid="{00000000-0005-0000-0000-00002B160000}"/>
    <cellStyle name="Normal 4 6 2 2 8 2" xfId="13213" xr:uid="{63F6AFA4-4267-4B99-8535-CA7DCF5F77A6}"/>
    <cellStyle name="Normal 4 6 2 2 9" xfId="8995" xr:uid="{A749C13A-315D-4201-8F7D-AFE1DA282976}"/>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FA3EA60A-DA28-4098-B28E-AA4CF4543C00}"/>
    <cellStyle name="Normal 4 6 2 3 2 2 3" xfId="11555" xr:uid="{FFD1BA6A-1B96-4ABC-91CB-8F48F649F577}"/>
    <cellStyle name="Normal 4 6 2 3 2 3" xfId="5186" xr:uid="{00000000-0005-0000-0000-000030160000}"/>
    <cellStyle name="Normal 4 6 2 3 2 3 2" xfId="13628" xr:uid="{8B727581-C6FC-4335-A1AC-7A29420E674B}"/>
    <cellStyle name="Normal 4 6 2 3 2 4" xfId="9410" xr:uid="{E9B83D16-B430-48C6-9F07-ECB1BF4FABE1}"/>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BCD9C14D-6356-4224-9FDC-894E691E5FDB}"/>
    <cellStyle name="Normal 4 6 2 3 3 2 3" xfId="11968" xr:uid="{8A152E8B-AFF1-4D66-A94C-4C5DDD0F786B}"/>
    <cellStyle name="Normal 4 6 2 3 3 3" xfId="5599" xr:uid="{00000000-0005-0000-0000-000034160000}"/>
    <cellStyle name="Normal 4 6 2 3 3 3 2" xfId="14041" xr:uid="{5F5DC0F8-288A-4B34-91EF-4858A1D0A705}"/>
    <cellStyle name="Normal 4 6 2 3 3 4" xfId="9823" xr:uid="{58601F02-379B-4770-9C83-B7DED3C3048A}"/>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FA05D632-6685-42DA-A0FB-D72C8771CC89}"/>
    <cellStyle name="Normal 4 6 2 3 4 2 3" xfId="12381" xr:uid="{0C2F0573-9FF2-4B53-B7B9-244E2C23FAB8}"/>
    <cellStyle name="Normal 4 6 2 3 4 3" xfId="6012" xr:uid="{00000000-0005-0000-0000-000038160000}"/>
    <cellStyle name="Normal 4 6 2 3 4 3 2" xfId="14454" xr:uid="{299F1E3E-BDBE-452F-AB07-1CB76974D609}"/>
    <cellStyle name="Normal 4 6 2 3 4 4" xfId="10236" xr:uid="{A7C9602C-C5CF-4409-968E-A07984355249}"/>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60545AC0-2033-4C28-BA12-ABB952EC9808}"/>
    <cellStyle name="Normal 4 6 2 3 5 2 3" xfId="12794" xr:uid="{F17325CC-8CE5-498B-8978-0C1E2B15F293}"/>
    <cellStyle name="Normal 4 6 2 3 5 3" xfId="6425" xr:uid="{00000000-0005-0000-0000-00003C160000}"/>
    <cellStyle name="Normal 4 6 2 3 5 3 2" xfId="14867" xr:uid="{7570B87D-0BD1-4342-BDB4-0987E293E5A0}"/>
    <cellStyle name="Normal 4 6 2 3 5 4" xfId="10649" xr:uid="{41B6F0FB-FA6F-4462-9280-20EC132FE740}"/>
    <cellStyle name="Normal 4 6 2 3 6" xfId="2554" xr:uid="{00000000-0005-0000-0000-00003D160000}"/>
    <cellStyle name="Normal 4 6 2 3 6 2" xfId="6838" xr:uid="{00000000-0005-0000-0000-00003E160000}"/>
    <cellStyle name="Normal 4 6 2 3 6 2 2" xfId="15280" xr:uid="{BA99ABC7-14D7-4C12-BCF5-98E5C5D96D85}"/>
    <cellStyle name="Normal 4 6 2 3 6 3" xfId="11062" xr:uid="{3B73A5BB-C488-4D13-906B-3D9A838E3233}"/>
    <cellStyle name="Normal 4 6 2 3 7" xfId="4773" xr:uid="{00000000-0005-0000-0000-00003F160000}"/>
    <cellStyle name="Normal 4 6 2 3 7 2" xfId="13215" xr:uid="{BAC52D55-5268-4F1B-82B6-566607B53B7B}"/>
    <cellStyle name="Normal 4 6 2 3 8" xfId="8997" xr:uid="{369A9F38-0106-4CD8-B87F-F217339FD2FE}"/>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801D53A9-4CE2-4795-8E8F-D119CFFD7004}"/>
    <cellStyle name="Normal 4 6 2 4 2 3" xfId="11552" xr:uid="{9512BC07-CF80-4DE6-A019-6ED77A1B3F61}"/>
    <cellStyle name="Normal 4 6 2 4 3" xfId="5183" xr:uid="{00000000-0005-0000-0000-000043160000}"/>
    <cellStyle name="Normal 4 6 2 4 3 2" xfId="13625" xr:uid="{37A032EA-5120-44CA-9FF5-76C9E56D1862}"/>
    <cellStyle name="Normal 4 6 2 4 4" xfId="9407" xr:uid="{9C52F3CE-08C1-4ED4-9C9B-0BE2CC08E1CC}"/>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D5425FA2-F281-42F1-B0C9-B3D5A8F54B3E}"/>
    <cellStyle name="Normal 4 6 2 5 2 3" xfId="11965" xr:uid="{B1958442-6130-443E-B954-01C546BE494C}"/>
    <cellStyle name="Normal 4 6 2 5 3" xfId="5596" xr:uid="{00000000-0005-0000-0000-000047160000}"/>
    <cellStyle name="Normal 4 6 2 5 3 2" xfId="14038" xr:uid="{923B79F5-FBE4-491D-BAE0-96443641590C}"/>
    <cellStyle name="Normal 4 6 2 5 4" xfId="9820" xr:uid="{2C614C0F-CEE6-4F18-9B03-43F2733693F1}"/>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EA800197-7CA6-4AA9-AE3C-9DD8B85742E9}"/>
    <cellStyle name="Normal 4 6 2 6 2 3" xfId="12378" xr:uid="{BD49F055-EC15-4750-AF4F-26003181EB52}"/>
    <cellStyle name="Normal 4 6 2 6 3" xfId="6009" xr:uid="{00000000-0005-0000-0000-00004B160000}"/>
    <cellStyle name="Normal 4 6 2 6 3 2" xfId="14451" xr:uid="{BE4B068A-E9CC-44DC-A603-E6E38AA668AB}"/>
    <cellStyle name="Normal 4 6 2 6 4" xfId="10233" xr:uid="{1AF45267-D593-4CA5-9CF5-F63250494E8F}"/>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B00B2975-87A0-4A75-BC4F-5D8C5A38D7B2}"/>
    <cellStyle name="Normal 4 6 2 7 2 3" xfId="12791" xr:uid="{76CB99BF-B80F-480D-A273-6D055ACA36DC}"/>
    <cellStyle name="Normal 4 6 2 7 3" xfId="6422" xr:uid="{00000000-0005-0000-0000-00004F160000}"/>
    <cellStyle name="Normal 4 6 2 7 3 2" xfId="14864" xr:uid="{CDAD1F77-A6D5-4F95-8B9B-60CD9D55450B}"/>
    <cellStyle name="Normal 4 6 2 7 4" xfId="10646" xr:uid="{323AF6B7-6679-4858-A487-146E5EAAC106}"/>
    <cellStyle name="Normal 4 6 2 8" xfId="2551" xr:uid="{00000000-0005-0000-0000-000050160000}"/>
    <cellStyle name="Normal 4 6 2 8 2" xfId="6835" xr:uid="{00000000-0005-0000-0000-000051160000}"/>
    <cellStyle name="Normal 4 6 2 8 2 2" xfId="15277" xr:uid="{51E6F183-AD51-4D90-8221-39EF8C2449F3}"/>
    <cellStyle name="Normal 4 6 2 8 3" xfId="11059" xr:uid="{D709EA85-E6A5-4119-817E-23771DD7A097}"/>
    <cellStyle name="Normal 4 6 2 9" xfId="4770" xr:uid="{00000000-0005-0000-0000-000052160000}"/>
    <cellStyle name="Normal 4 6 2 9 2" xfId="13212" xr:uid="{77E843EA-5CD3-48F4-BFBB-620CFFF45011}"/>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55A867F9-6FFF-4296-B0D3-573CD5E2605F}"/>
    <cellStyle name="Normal 4 6 3 2 2 2 3" xfId="11557" xr:uid="{18378FD4-127A-4EC9-9118-808A2E7BDD8C}"/>
    <cellStyle name="Normal 4 6 3 2 2 3" xfId="5188" xr:uid="{00000000-0005-0000-0000-000058160000}"/>
    <cellStyle name="Normal 4 6 3 2 2 3 2" xfId="13630" xr:uid="{EC990A64-5A6E-45BD-ABA1-840C67D2B9A8}"/>
    <cellStyle name="Normal 4 6 3 2 2 4" xfId="9412" xr:uid="{98BB714C-2DE5-473C-B9A6-0435FAB870DC}"/>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261556F6-6DAC-44AA-A28A-B2880BE62C9B}"/>
    <cellStyle name="Normal 4 6 3 2 3 2 3" xfId="11970" xr:uid="{2EB7F23B-A059-4404-BD93-8D8E7514A638}"/>
    <cellStyle name="Normal 4 6 3 2 3 3" xfId="5601" xr:uid="{00000000-0005-0000-0000-00005C160000}"/>
    <cellStyle name="Normal 4 6 3 2 3 3 2" xfId="14043" xr:uid="{5CAF73FA-9A27-4DDA-B272-AFED5FCD4D56}"/>
    <cellStyle name="Normal 4 6 3 2 3 4" xfId="9825" xr:uid="{F95049F9-C27A-4733-951C-C589FD6EE32B}"/>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E76C645B-C92A-454B-9255-92796EB52A47}"/>
    <cellStyle name="Normal 4 6 3 2 4 2 3" xfId="12383" xr:uid="{2BEAF588-A758-4AC7-8021-A46867CB77CA}"/>
    <cellStyle name="Normal 4 6 3 2 4 3" xfId="6014" xr:uid="{00000000-0005-0000-0000-000060160000}"/>
    <cellStyle name="Normal 4 6 3 2 4 3 2" xfId="14456" xr:uid="{8A909420-049B-48E9-81D9-4C10CDBE7032}"/>
    <cellStyle name="Normal 4 6 3 2 4 4" xfId="10238" xr:uid="{AB0191DC-B1A4-4248-9641-0EA173812C55}"/>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829EA0A4-DC91-404A-85AC-6D9A5349B375}"/>
    <cellStyle name="Normal 4 6 3 2 5 2 3" xfId="12796" xr:uid="{D9C8BDFC-9A46-4442-9CCC-B9E5F8BFAB98}"/>
    <cellStyle name="Normal 4 6 3 2 5 3" xfId="6427" xr:uid="{00000000-0005-0000-0000-000064160000}"/>
    <cellStyle name="Normal 4 6 3 2 5 3 2" xfId="14869" xr:uid="{4FCC339A-4B65-47AE-9161-816C8395A373}"/>
    <cellStyle name="Normal 4 6 3 2 5 4" xfId="10651" xr:uid="{5B65856A-2621-4029-896C-80E8063E829D}"/>
    <cellStyle name="Normal 4 6 3 2 6" xfId="2556" xr:uid="{00000000-0005-0000-0000-000065160000}"/>
    <cellStyle name="Normal 4 6 3 2 6 2" xfId="6840" xr:uid="{00000000-0005-0000-0000-000066160000}"/>
    <cellStyle name="Normal 4 6 3 2 6 2 2" xfId="15282" xr:uid="{2FEA7CC1-7F77-4ED8-B78B-0EBAE42D1E15}"/>
    <cellStyle name="Normal 4 6 3 2 6 3" xfId="11064" xr:uid="{65793A32-D09E-4899-BA82-86DF6AFEB539}"/>
    <cellStyle name="Normal 4 6 3 2 7" xfId="4775" xr:uid="{00000000-0005-0000-0000-000067160000}"/>
    <cellStyle name="Normal 4 6 3 2 7 2" xfId="13217" xr:uid="{B94905B8-31A6-41D4-B503-95F061A5AA93}"/>
    <cellStyle name="Normal 4 6 3 2 8" xfId="8999" xr:uid="{A53D6659-30C0-494B-A069-CF01D8942696}"/>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BC60D6B5-A2B4-4D19-A9AB-305D05BE4E03}"/>
    <cellStyle name="Normal 4 6 3 3 2 3" xfId="11556" xr:uid="{7C8D8747-4CC5-44E0-B62B-B418F5F4F0F5}"/>
    <cellStyle name="Normal 4 6 3 3 3" xfId="5187" xr:uid="{00000000-0005-0000-0000-00006B160000}"/>
    <cellStyle name="Normal 4 6 3 3 3 2" xfId="13629" xr:uid="{A78B13B1-D6AD-486A-846A-BB4415BE09F4}"/>
    <cellStyle name="Normal 4 6 3 3 4" xfId="9411" xr:uid="{B65F7243-0108-4DA3-984F-4109162C3382}"/>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F3F2E68C-67C6-4BD1-A40B-B59E06EA8593}"/>
    <cellStyle name="Normal 4 6 3 4 2 3" xfId="11969" xr:uid="{8A3C2BFC-3655-4473-B90D-A3AB42C9A7C7}"/>
    <cellStyle name="Normal 4 6 3 4 3" xfId="5600" xr:uid="{00000000-0005-0000-0000-00006F160000}"/>
    <cellStyle name="Normal 4 6 3 4 3 2" xfId="14042" xr:uid="{3E13EBFE-0D7D-4019-B680-270A10701637}"/>
    <cellStyle name="Normal 4 6 3 4 4" xfId="9824" xr:uid="{1386C451-D5D5-4AFA-A7F7-4B31B6CFDF7B}"/>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841AEF49-47C3-4836-9118-64BBE7BCA4CE}"/>
    <cellStyle name="Normal 4 6 3 5 2 3" xfId="12382" xr:uid="{B7BC00DB-01A8-4D1C-BBD2-2085025CF419}"/>
    <cellStyle name="Normal 4 6 3 5 3" xfId="6013" xr:uid="{00000000-0005-0000-0000-000073160000}"/>
    <cellStyle name="Normal 4 6 3 5 3 2" xfId="14455" xr:uid="{DA97B0F4-B258-468C-A21F-7B14475D8233}"/>
    <cellStyle name="Normal 4 6 3 5 4" xfId="10237" xr:uid="{D7F390CF-C2E6-42F7-8D0E-F6AD8E977394}"/>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99B191F5-7FBD-454B-B2D1-F5E8CAFDF1FF}"/>
    <cellStyle name="Normal 4 6 3 6 2 3" xfId="12795" xr:uid="{39C8E52D-6121-4280-BAB0-FEBA35370C57}"/>
    <cellStyle name="Normal 4 6 3 6 3" xfId="6426" xr:uid="{00000000-0005-0000-0000-000077160000}"/>
    <cellStyle name="Normal 4 6 3 6 3 2" xfId="14868" xr:uid="{81E0C4D8-B63F-4EC9-B6AD-61EABF88B0DC}"/>
    <cellStyle name="Normal 4 6 3 6 4" xfId="10650" xr:uid="{6F83A6E5-A1DC-43DA-88D4-FED98A9409F0}"/>
    <cellStyle name="Normal 4 6 3 7" xfId="2555" xr:uid="{00000000-0005-0000-0000-000078160000}"/>
    <cellStyle name="Normal 4 6 3 7 2" xfId="6839" xr:uid="{00000000-0005-0000-0000-000079160000}"/>
    <cellStyle name="Normal 4 6 3 7 2 2" xfId="15281" xr:uid="{43930FC9-D6C3-4EAF-BB68-1812582D4E00}"/>
    <cellStyle name="Normal 4 6 3 7 3" xfId="11063" xr:uid="{25274A85-2D00-46E7-AC16-EFCAD1F74F26}"/>
    <cellStyle name="Normal 4 6 3 8" xfId="4774" xr:uid="{00000000-0005-0000-0000-00007A160000}"/>
    <cellStyle name="Normal 4 6 3 8 2" xfId="13216" xr:uid="{530F23DA-7390-48B3-84B5-A2C75B32B168}"/>
    <cellStyle name="Normal 4 6 3 9" xfId="8998" xr:uid="{58CEBF8C-6E1A-4B7C-9F33-6B06F9566A1A}"/>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E0AC354C-4DDF-41D0-8CC6-9FB568156B26}"/>
    <cellStyle name="Normal 4 6 4 2 2 3" xfId="11558" xr:uid="{BF44DB7A-3F86-46AF-8618-3D5627DAFE56}"/>
    <cellStyle name="Normal 4 6 4 2 3" xfId="5189" xr:uid="{00000000-0005-0000-0000-00007F160000}"/>
    <cellStyle name="Normal 4 6 4 2 3 2" xfId="13631" xr:uid="{AB5B868C-B67B-4715-B9F6-B4C59C1FC829}"/>
    <cellStyle name="Normal 4 6 4 2 4" xfId="9413" xr:uid="{1A248E8B-E6DB-41AB-AA3E-1B5A87E0A2D7}"/>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664DA13C-782B-4C69-82E9-4C914D8302A4}"/>
    <cellStyle name="Normal 4 6 4 3 2 3" xfId="11971" xr:uid="{FD782038-FDC1-48B7-AD94-54807962CDFD}"/>
    <cellStyle name="Normal 4 6 4 3 3" xfId="5602" xr:uid="{00000000-0005-0000-0000-000083160000}"/>
    <cellStyle name="Normal 4 6 4 3 3 2" xfId="14044" xr:uid="{6133B766-F4A1-4635-AFD8-B442CCEB8056}"/>
    <cellStyle name="Normal 4 6 4 3 4" xfId="9826" xr:uid="{0CE4EFD5-7B8F-45B9-89C9-B031AEDE8484}"/>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4DF5DCA8-B11E-4AE8-BB42-9F27386254FF}"/>
    <cellStyle name="Normal 4 6 4 4 2 3" xfId="12384" xr:uid="{62CB4CBC-BA70-460E-BBA4-AB01BFFA21D6}"/>
    <cellStyle name="Normal 4 6 4 4 3" xfId="6015" xr:uid="{00000000-0005-0000-0000-000087160000}"/>
    <cellStyle name="Normal 4 6 4 4 3 2" xfId="14457" xr:uid="{0BF6570A-A5BC-497D-A07C-95B98DDFABD7}"/>
    <cellStyle name="Normal 4 6 4 4 4" xfId="10239" xr:uid="{DFD76C24-99A6-4AD0-954D-179E03F3064D}"/>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4E14CAEC-05E4-476C-852B-B00824A702CF}"/>
    <cellStyle name="Normal 4 6 4 5 2 3" xfId="12797" xr:uid="{CE38A43E-70D0-43E5-9A23-A2FD0C12F8CA}"/>
    <cellStyle name="Normal 4 6 4 5 3" xfId="6428" xr:uid="{00000000-0005-0000-0000-00008B160000}"/>
    <cellStyle name="Normal 4 6 4 5 3 2" xfId="14870" xr:uid="{0FB71E75-EA87-42A5-A934-1AFC80B348DD}"/>
    <cellStyle name="Normal 4 6 4 5 4" xfId="10652" xr:uid="{F007C170-50DA-4215-BB88-6C93DDDCEC46}"/>
    <cellStyle name="Normal 4 6 4 6" xfId="2557" xr:uid="{00000000-0005-0000-0000-00008C160000}"/>
    <cellStyle name="Normal 4 6 4 6 2" xfId="6841" xr:uid="{00000000-0005-0000-0000-00008D160000}"/>
    <cellStyle name="Normal 4 6 4 6 2 2" xfId="15283" xr:uid="{E78EDC6E-430A-4469-9ADA-C1F2282EA30C}"/>
    <cellStyle name="Normal 4 6 4 6 3" xfId="11065" xr:uid="{EA8C491E-C016-4096-850C-B622A5293DD3}"/>
    <cellStyle name="Normal 4 6 4 7" xfId="4776" xr:uid="{00000000-0005-0000-0000-00008E160000}"/>
    <cellStyle name="Normal 4 6 4 7 2" xfId="13218" xr:uid="{A71A486A-E57B-4F44-8A1E-7B87310A7B4B}"/>
    <cellStyle name="Normal 4 6 4 8" xfId="9000" xr:uid="{A2F062DA-D16B-4555-9C52-E3AFAA9B374B}"/>
    <cellStyle name="Normal 4 6 5" xfId="869" xr:uid="{00000000-0005-0000-0000-00008F160000}"/>
    <cellStyle name="Normal 4 6 5 2" xfId="3104" xr:uid="{00000000-0005-0000-0000-000090160000}"/>
    <cellStyle name="Normal 4 6 5 2 2" xfId="7327" xr:uid="{00000000-0005-0000-0000-000091160000}"/>
    <cellStyle name="Normal 4 6 5 2 2 2" xfId="15769" xr:uid="{A9974C5F-F7B4-4550-8263-07DAD1C3DF6B}"/>
    <cellStyle name="Normal 4 6 5 2 3" xfId="11551" xr:uid="{A69FA341-D59A-4380-8182-30268D682FCB}"/>
    <cellStyle name="Normal 4 6 5 3" xfId="5182" xr:uid="{00000000-0005-0000-0000-000092160000}"/>
    <cellStyle name="Normal 4 6 5 3 2" xfId="13624" xr:uid="{C4AD899B-1794-4322-A40B-EDCCA7C1CBFE}"/>
    <cellStyle name="Normal 4 6 5 4" xfId="9406" xr:uid="{7342953F-6DAA-4B9B-9B71-F48B9D8758B6}"/>
    <cellStyle name="Normal 4 6 6" xfId="1287" xr:uid="{00000000-0005-0000-0000-000093160000}"/>
    <cellStyle name="Normal 4 6 6 2" xfId="3517" xr:uid="{00000000-0005-0000-0000-000094160000}"/>
    <cellStyle name="Normal 4 6 6 2 2" xfId="7740" xr:uid="{00000000-0005-0000-0000-000095160000}"/>
    <cellStyle name="Normal 4 6 6 2 2 2" xfId="16182" xr:uid="{F938D1B6-AC60-498D-9946-2137DBB89A6E}"/>
    <cellStyle name="Normal 4 6 6 2 3" xfId="11964" xr:uid="{565CD5C9-0591-44AF-8363-FC90BE02E762}"/>
    <cellStyle name="Normal 4 6 6 3" xfId="5595" xr:uid="{00000000-0005-0000-0000-000096160000}"/>
    <cellStyle name="Normal 4 6 6 3 2" xfId="14037" xr:uid="{79FD4895-07E3-4D30-948B-82189032F405}"/>
    <cellStyle name="Normal 4 6 6 4" xfId="9819" xr:uid="{F9A13DAB-3072-4366-862F-1BFE68BDA00A}"/>
    <cellStyle name="Normal 4 6 7" xfId="1700" xr:uid="{00000000-0005-0000-0000-000097160000}"/>
    <cellStyle name="Normal 4 6 7 2" xfId="3930" xr:uid="{00000000-0005-0000-0000-000098160000}"/>
    <cellStyle name="Normal 4 6 7 2 2" xfId="8153" xr:uid="{00000000-0005-0000-0000-000099160000}"/>
    <cellStyle name="Normal 4 6 7 2 2 2" xfId="16595" xr:uid="{BAD62C3B-3666-431D-BD80-F88372D55DEE}"/>
    <cellStyle name="Normal 4 6 7 2 3" xfId="12377" xr:uid="{DC8AE5D6-5557-4494-AE08-23EA43FF82F2}"/>
    <cellStyle name="Normal 4 6 7 3" xfId="6008" xr:uid="{00000000-0005-0000-0000-00009A160000}"/>
    <cellStyle name="Normal 4 6 7 3 2" xfId="14450" xr:uid="{5514CB25-6229-4C5A-9C30-ACD03A7FCF8E}"/>
    <cellStyle name="Normal 4 6 7 4" xfId="10232" xr:uid="{1C702D9C-CDC2-49B4-B36C-B4A2331FBBB2}"/>
    <cellStyle name="Normal 4 6 8" xfId="2114" xr:uid="{00000000-0005-0000-0000-00009B160000}"/>
    <cellStyle name="Normal 4 6 8 2" xfId="4343" xr:uid="{00000000-0005-0000-0000-00009C160000}"/>
    <cellStyle name="Normal 4 6 8 2 2" xfId="8566" xr:uid="{00000000-0005-0000-0000-00009D160000}"/>
    <cellStyle name="Normal 4 6 8 2 2 2" xfId="17008" xr:uid="{47F1EC0C-B8CC-4ACD-B67E-FA66B17CDB22}"/>
    <cellStyle name="Normal 4 6 8 2 3" xfId="12790" xr:uid="{50527787-83C9-4143-9736-45C56C17FE86}"/>
    <cellStyle name="Normal 4 6 8 3" xfId="6421" xr:uid="{00000000-0005-0000-0000-00009E160000}"/>
    <cellStyle name="Normal 4 6 8 3 2" xfId="14863" xr:uid="{BD32C82B-F22B-4D12-8EC4-D48F7CD6C886}"/>
    <cellStyle name="Normal 4 6 8 4" xfId="10645" xr:uid="{7F64C921-A3CB-4EEB-9114-ECFA74D71915}"/>
    <cellStyle name="Normal 4 6 9" xfId="2550" xr:uid="{00000000-0005-0000-0000-00009F160000}"/>
    <cellStyle name="Normal 4 6 9 2" xfId="6834" xr:uid="{00000000-0005-0000-0000-0000A0160000}"/>
    <cellStyle name="Normal 4 6 9 2 2" xfId="15276" xr:uid="{6336380E-63CE-450C-AEA7-059363D2D17B}"/>
    <cellStyle name="Normal 4 6 9 3" xfId="11058" xr:uid="{62C5130E-0035-42E5-8343-58F4277A73DE}"/>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C3D8D1D5-1907-4B45-99B7-A0C9AF9842ED}"/>
    <cellStyle name="Normal 4 7 2 2 2 3" xfId="11560" xr:uid="{F2AE598D-324D-4476-B6DC-1AAFCC81E945}"/>
    <cellStyle name="Normal 4 7 2 2 3" xfId="5191" xr:uid="{00000000-0005-0000-0000-0000A6160000}"/>
    <cellStyle name="Normal 4 7 2 2 3 2" xfId="13633" xr:uid="{B59E5243-3178-47FC-93B3-E44D99D372DF}"/>
    <cellStyle name="Normal 4 7 2 2 4" xfId="9415" xr:uid="{EE650CC5-86DC-42FA-8468-853B888F2360}"/>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110E2E87-8F3E-45B9-AF54-8ED41BC0B73F}"/>
    <cellStyle name="Normal 4 7 2 3 2 3" xfId="11973" xr:uid="{FB1E5911-E489-4A3E-BA19-078089632746}"/>
    <cellStyle name="Normal 4 7 2 3 3" xfId="5604" xr:uid="{00000000-0005-0000-0000-0000AA160000}"/>
    <cellStyle name="Normal 4 7 2 3 3 2" xfId="14046" xr:uid="{EBE52448-FFF5-4B01-B2B2-B00D3F3BB789}"/>
    <cellStyle name="Normal 4 7 2 3 4" xfId="9828" xr:uid="{BECFC9E7-B44F-4AE5-A39A-77891FB2EF3E}"/>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147502D6-FB86-4E55-92F7-8294B4F2759F}"/>
    <cellStyle name="Normal 4 7 2 4 2 3" xfId="12386" xr:uid="{8482A692-3D11-42EA-B1DA-B477557DFED7}"/>
    <cellStyle name="Normal 4 7 2 4 3" xfId="6017" xr:uid="{00000000-0005-0000-0000-0000AE160000}"/>
    <cellStyle name="Normal 4 7 2 4 3 2" xfId="14459" xr:uid="{8D012A54-EB90-4597-9003-98D37EBC361A}"/>
    <cellStyle name="Normal 4 7 2 4 4" xfId="10241" xr:uid="{2CFE0C58-A607-48F4-9490-B7CD27879E3F}"/>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332407BD-D16D-4B2B-8009-B754836630CE}"/>
    <cellStyle name="Normal 4 7 2 5 2 3" xfId="12799" xr:uid="{A795A7AC-1194-4DAF-96A9-48C1F9561A6F}"/>
    <cellStyle name="Normal 4 7 2 5 3" xfId="6430" xr:uid="{00000000-0005-0000-0000-0000B2160000}"/>
    <cellStyle name="Normal 4 7 2 5 3 2" xfId="14872" xr:uid="{EBA57FFA-1744-4477-8548-B1F44C782AF6}"/>
    <cellStyle name="Normal 4 7 2 5 4" xfId="10654" xr:uid="{2E37273E-AA9F-4BB9-9055-32EB7FF89940}"/>
    <cellStyle name="Normal 4 7 2 6" xfId="2559" xr:uid="{00000000-0005-0000-0000-0000B3160000}"/>
    <cellStyle name="Normal 4 7 2 6 2" xfId="6843" xr:uid="{00000000-0005-0000-0000-0000B4160000}"/>
    <cellStyle name="Normal 4 7 2 6 2 2" xfId="15285" xr:uid="{84CBF0D0-C4B0-4C02-BCD9-11E0610BC2A7}"/>
    <cellStyle name="Normal 4 7 2 6 3" xfId="11067" xr:uid="{A88BDD7B-CCCF-4382-AA56-8508AD905551}"/>
    <cellStyle name="Normal 4 7 2 7" xfId="4778" xr:uid="{00000000-0005-0000-0000-0000B5160000}"/>
    <cellStyle name="Normal 4 7 2 7 2" xfId="13220" xr:uid="{50806271-B18C-4B5F-8C45-4D31C6C36D94}"/>
    <cellStyle name="Normal 4 7 2 8" xfId="9002" xr:uid="{65A3226B-3A84-492E-AF8E-5A4925A873BC}"/>
    <cellStyle name="Normal 4 7 3" xfId="877" xr:uid="{00000000-0005-0000-0000-0000B6160000}"/>
    <cellStyle name="Normal 4 7 3 2" xfId="3112" xr:uid="{00000000-0005-0000-0000-0000B7160000}"/>
    <cellStyle name="Normal 4 7 3 2 2" xfId="7335" xr:uid="{00000000-0005-0000-0000-0000B8160000}"/>
    <cellStyle name="Normal 4 7 3 2 2 2" xfId="15777" xr:uid="{0878D688-11D4-4025-B2EE-7A634DB2A363}"/>
    <cellStyle name="Normal 4 7 3 2 3" xfId="11559" xr:uid="{A01ACBA6-539F-45EB-9DF3-EC66FE8AB159}"/>
    <cellStyle name="Normal 4 7 3 3" xfId="5190" xr:uid="{00000000-0005-0000-0000-0000B9160000}"/>
    <cellStyle name="Normal 4 7 3 3 2" xfId="13632" xr:uid="{16BD1328-F603-42F9-B036-C84B286C793A}"/>
    <cellStyle name="Normal 4 7 3 4" xfId="9414" xr:uid="{8E013B05-FE5E-4284-9B0B-42A1BBC33F86}"/>
    <cellStyle name="Normal 4 7 4" xfId="1295" xr:uid="{00000000-0005-0000-0000-0000BA160000}"/>
    <cellStyle name="Normal 4 7 4 2" xfId="3525" xr:uid="{00000000-0005-0000-0000-0000BB160000}"/>
    <cellStyle name="Normal 4 7 4 2 2" xfId="7748" xr:uid="{00000000-0005-0000-0000-0000BC160000}"/>
    <cellStyle name="Normal 4 7 4 2 2 2" xfId="16190" xr:uid="{41A963B8-D462-49E3-8898-095CD1301544}"/>
    <cellStyle name="Normal 4 7 4 2 3" xfId="11972" xr:uid="{03565DEA-B57B-4F0E-8442-E19F1F609756}"/>
    <cellStyle name="Normal 4 7 4 3" xfId="5603" xr:uid="{00000000-0005-0000-0000-0000BD160000}"/>
    <cellStyle name="Normal 4 7 4 3 2" xfId="14045" xr:uid="{7851FE5B-96E9-428C-A4E9-95EB951C8219}"/>
    <cellStyle name="Normal 4 7 4 4" xfId="9827" xr:uid="{F85C1688-87BC-4104-AF14-D26A6A97A683}"/>
    <cellStyle name="Normal 4 7 5" xfId="1708" xr:uid="{00000000-0005-0000-0000-0000BE160000}"/>
    <cellStyle name="Normal 4 7 5 2" xfId="3938" xr:uid="{00000000-0005-0000-0000-0000BF160000}"/>
    <cellStyle name="Normal 4 7 5 2 2" xfId="8161" xr:uid="{00000000-0005-0000-0000-0000C0160000}"/>
    <cellStyle name="Normal 4 7 5 2 2 2" xfId="16603" xr:uid="{01B6F71B-8475-41D6-A302-B71D0DC5DF99}"/>
    <cellStyle name="Normal 4 7 5 2 3" xfId="12385" xr:uid="{09655F6A-7CBC-4C41-B033-9655C9C47E2C}"/>
    <cellStyle name="Normal 4 7 5 3" xfId="6016" xr:uid="{00000000-0005-0000-0000-0000C1160000}"/>
    <cellStyle name="Normal 4 7 5 3 2" xfId="14458" xr:uid="{23772FE8-0021-4BDE-8508-C2076A388D18}"/>
    <cellStyle name="Normal 4 7 5 4" xfId="10240" xr:uid="{37A91362-075B-4F4A-B9BE-D7414B00E81B}"/>
    <cellStyle name="Normal 4 7 6" xfId="2122" xr:uid="{00000000-0005-0000-0000-0000C2160000}"/>
    <cellStyle name="Normal 4 7 6 2" xfId="4351" xr:uid="{00000000-0005-0000-0000-0000C3160000}"/>
    <cellStyle name="Normal 4 7 6 2 2" xfId="8574" xr:uid="{00000000-0005-0000-0000-0000C4160000}"/>
    <cellStyle name="Normal 4 7 6 2 2 2" xfId="17016" xr:uid="{826FEC52-D261-4B63-984E-AE1F9227C3C6}"/>
    <cellStyle name="Normal 4 7 6 2 3" xfId="12798" xr:uid="{EB407F52-B2E0-46F7-9478-5B6D1950DBD1}"/>
    <cellStyle name="Normal 4 7 6 3" xfId="6429" xr:uid="{00000000-0005-0000-0000-0000C5160000}"/>
    <cellStyle name="Normal 4 7 6 3 2" xfId="14871" xr:uid="{4259F006-98AC-4234-8BC2-7E82C07350A6}"/>
    <cellStyle name="Normal 4 7 6 4" xfId="10653" xr:uid="{48F2A7F5-C87E-437D-88F4-969B3938FF56}"/>
    <cellStyle name="Normal 4 7 7" xfId="2558" xr:uid="{00000000-0005-0000-0000-0000C6160000}"/>
    <cellStyle name="Normal 4 7 7 2" xfId="6842" xr:uid="{00000000-0005-0000-0000-0000C7160000}"/>
    <cellStyle name="Normal 4 7 7 2 2" xfId="15284" xr:uid="{CD62D62A-F8DA-4D16-B0AA-ECEC6C0E0F64}"/>
    <cellStyle name="Normal 4 7 7 3" xfId="11066" xr:uid="{30865611-2033-4A12-AF27-8BCE254FED7F}"/>
    <cellStyle name="Normal 4 7 8" xfId="4777" xr:uid="{00000000-0005-0000-0000-0000C8160000}"/>
    <cellStyle name="Normal 4 7 8 2" xfId="13219" xr:uid="{EFF7519B-485E-4D70-94E1-828758E1F642}"/>
    <cellStyle name="Normal 4 7 9" xfId="9001" xr:uid="{041F885E-EC0B-4A77-AE83-A4D868A7B197}"/>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061E55AF-E199-47BF-9710-8A4EA1F6FE83}"/>
    <cellStyle name="Normal 4 8 2 2 3" xfId="11561" xr:uid="{62CE23A9-DA06-4855-9108-8FE731A58C37}"/>
    <cellStyle name="Normal 4 8 2 3" xfId="5192" xr:uid="{00000000-0005-0000-0000-0000CD160000}"/>
    <cellStyle name="Normal 4 8 2 3 2" xfId="13634" xr:uid="{A582FE77-D831-4335-BA69-D75F67FF67BC}"/>
    <cellStyle name="Normal 4 8 2 4" xfId="9416" xr:uid="{96287A0A-B96D-472D-9247-E3C54EF183DB}"/>
    <cellStyle name="Normal 4 8 3" xfId="1297" xr:uid="{00000000-0005-0000-0000-0000CE160000}"/>
    <cellStyle name="Normal 4 8 3 2" xfId="3527" xr:uid="{00000000-0005-0000-0000-0000CF160000}"/>
    <cellStyle name="Normal 4 8 3 2 2" xfId="7750" xr:uid="{00000000-0005-0000-0000-0000D0160000}"/>
    <cellStyle name="Normal 4 8 3 2 2 2" xfId="16192" xr:uid="{1B65F1ED-C28C-4F6D-B164-A6B747266472}"/>
    <cellStyle name="Normal 4 8 3 2 3" xfId="11974" xr:uid="{AF723FA5-E172-41BA-9A07-86D9BCCCBDA1}"/>
    <cellStyle name="Normal 4 8 3 3" xfId="5605" xr:uid="{00000000-0005-0000-0000-0000D1160000}"/>
    <cellStyle name="Normal 4 8 3 3 2" xfId="14047" xr:uid="{520B137D-D289-4777-9EBF-55CCC2CE9A88}"/>
    <cellStyle name="Normal 4 8 3 4" xfId="9829" xr:uid="{6B1126E4-BED0-4C83-9871-402661D66DA9}"/>
    <cellStyle name="Normal 4 8 4" xfId="1710" xr:uid="{00000000-0005-0000-0000-0000D2160000}"/>
    <cellStyle name="Normal 4 8 4 2" xfId="3940" xr:uid="{00000000-0005-0000-0000-0000D3160000}"/>
    <cellStyle name="Normal 4 8 4 2 2" xfId="8163" xr:uid="{00000000-0005-0000-0000-0000D4160000}"/>
    <cellStyle name="Normal 4 8 4 2 2 2" xfId="16605" xr:uid="{C45D6DFB-134B-4E44-AC6C-C9F55AE13E27}"/>
    <cellStyle name="Normal 4 8 4 2 3" xfId="12387" xr:uid="{42A771CE-9028-43A1-89E7-A8B2884BC796}"/>
    <cellStyle name="Normal 4 8 4 3" xfId="6018" xr:uid="{00000000-0005-0000-0000-0000D5160000}"/>
    <cellStyle name="Normal 4 8 4 3 2" xfId="14460" xr:uid="{A7996AB2-B8DC-42ED-9C0A-D73AEA200F63}"/>
    <cellStyle name="Normal 4 8 4 4" xfId="10242" xr:uid="{05F378D5-60D7-4B55-B10E-4CE72CFB1E2B}"/>
    <cellStyle name="Normal 4 8 5" xfId="2124" xr:uid="{00000000-0005-0000-0000-0000D6160000}"/>
    <cellStyle name="Normal 4 8 5 2" xfId="4353" xr:uid="{00000000-0005-0000-0000-0000D7160000}"/>
    <cellStyle name="Normal 4 8 5 2 2" xfId="8576" xr:uid="{00000000-0005-0000-0000-0000D8160000}"/>
    <cellStyle name="Normal 4 8 5 2 2 2" xfId="17018" xr:uid="{F6CE4F9D-482E-4730-8706-A20C44857C85}"/>
    <cellStyle name="Normal 4 8 5 2 3" xfId="12800" xr:uid="{D281B00B-0631-4F13-A916-3A18EF09502E}"/>
    <cellStyle name="Normal 4 8 5 3" xfId="6431" xr:uid="{00000000-0005-0000-0000-0000D9160000}"/>
    <cellStyle name="Normal 4 8 5 3 2" xfId="14873" xr:uid="{D2C168D6-6FFA-479F-AB39-D021FE6E651B}"/>
    <cellStyle name="Normal 4 8 5 4" xfId="10655" xr:uid="{89CF7F19-55EA-45BC-AB07-711261CE4B69}"/>
    <cellStyle name="Normal 4 8 6" xfId="2560" xr:uid="{00000000-0005-0000-0000-0000DA160000}"/>
    <cellStyle name="Normal 4 8 6 2" xfId="6844" xr:uid="{00000000-0005-0000-0000-0000DB160000}"/>
    <cellStyle name="Normal 4 8 6 2 2" xfId="15286" xr:uid="{CF0D0D1D-CCCC-48C8-9545-E9A189287AF0}"/>
    <cellStyle name="Normal 4 8 6 3" xfId="11068" xr:uid="{A858BECC-21F6-403A-8C29-93AE82376F52}"/>
    <cellStyle name="Normal 4 8 7" xfId="4779" xr:uid="{00000000-0005-0000-0000-0000DC160000}"/>
    <cellStyle name="Normal 4 8 7 2" xfId="13221" xr:uid="{E1563B01-3B32-43CA-A686-4AA13C39DD84}"/>
    <cellStyle name="Normal 4 8 8" xfId="9003" xr:uid="{1825825F-D408-4E4F-92CF-85ED6E3CF72F}"/>
    <cellStyle name="Normal 4 9" xfId="4716" xr:uid="{00000000-0005-0000-0000-0000DD160000}"/>
    <cellStyle name="Normal 4 9 2" xfId="13158" xr:uid="{8BFB7711-3348-4E07-959D-BED8726BD168}"/>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6FD943EF-CB8D-4AF5-9FC0-7351E6E246CD}"/>
    <cellStyle name="Normal 5 10 2 3" xfId="12388" xr:uid="{8EB142D8-0921-447F-BE00-436FA9FB617B}"/>
    <cellStyle name="Normal 5 10 3" xfId="6019" xr:uid="{00000000-0005-0000-0000-0000E2160000}"/>
    <cellStyle name="Normal 5 10 3 2" xfId="14461" xr:uid="{02287879-1E59-4DC3-95CF-FF6E861E4D70}"/>
    <cellStyle name="Normal 5 10 4" xfId="10243" xr:uid="{6705F7A5-1DC1-45A4-B3AA-0AD07C6E13C7}"/>
    <cellStyle name="Normal 5 11" xfId="2125" xr:uid="{00000000-0005-0000-0000-0000E3160000}"/>
    <cellStyle name="Normal 5 11 2" xfId="4354" xr:uid="{00000000-0005-0000-0000-0000E4160000}"/>
    <cellStyle name="Normal 5 11 2 2" xfId="8577" xr:uid="{00000000-0005-0000-0000-0000E5160000}"/>
    <cellStyle name="Normal 5 11 2 2 2" xfId="17019" xr:uid="{0E8F2D9B-C1EA-4DD4-9A41-ECEA6931A3DA}"/>
    <cellStyle name="Normal 5 11 2 3" xfId="12801" xr:uid="{BD88AB23-DE6C-4C63-8EBF-47BB80683276}"/>
    <cellStyle name="Normal 5 11 3" xfId="6432" xr:uid="{00000000-0005-0000-0000-0000E6160000}"/>
    <cellStyle name="Normal 5 11 3 2" xfId="14874" xr:uid="{462C8BD4-2CA5-469C-AB7D-29BA6443506B}"/>
    <cellStyle name="Normal 5 11 4" xfId="10656" xr:uid="{75E5B896-6F24-4DB7-90EE-205119B9ABC0}"/>
    <cellStyle name="Normal 5 12" xfId="2561" xr:uid="{00000000-0005-0000-0000-0000E7160000}"/>
    <cellStyle name="Normal 5 12 2" xfId="6845" xr:uid="{00000000-0005-0000-0000-0000E8160000}"/>
    <cellStyle name="Normal 5 12 2 2" xfId="15287" xr:uid="{CD14C504-4104-42FE-A718-6B260C0521A2}"/>
    <cellStyle name="Normal 5 12 3" xfId="11069" xr:uid="{1E0884D0-F3E7-4024-A380-8EB5C7E1183A}"/>
    <cellStyle name="Normal 5 13" xfId="4780" xr:uid="{00000000-0005-0000-0000-0000E9160000}"/>
    <cellStyle name="Normal 5 13 2" xfId="13222" xr:uid="{0710DDC0-E534-4D7A-ABB0-69A9C2C716F5}"/>
    <cellStyle name="Normal 5 14" xfId="9004" xr:uid="{4B94C1C2-790A-4A63-8ECF-4066C9C28006}"/>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46956AA3-A54F-43A6-8949-AA5E48AD2CFF}"/>
    <cellStyle name="Normal 5 2 10 2 3" xfId="12802" xr:uid="{7C54524A-2D29-43F9-B25D-36AF41AFDE19}"/>
    <cellStyle name="Normal 5 2 10 3" xfId="6433" xr:uid="{00000000-0005-0000-0000-0000EE160000}"/>
    <cellStyle name="Normal 5 2 10 3 2" xfId="14875" xr:uid="{82E13ED8-4614-43D1-883D-E67876B33B7E}"/>
    <cellStyle name="Normal 5 2 10 4" xfId="10657" xr:uid="{DD01CB5F-4D41-49A2-A6EE-D4DE430237EA}"/>
    <cellStyle name="Normal 5 2 11" xfId="2562" xr:uid="{00000000-0005-0000-0000-0000EF160000}"/>
    <cellStyle name="Normal 5 2 11 2" xfId="6846" xr:uid="{00000000-0005-0000-0000-0000F0160000}"/>
    <cellStyle name="Normal 5 2 11 2 2" xfId="15288" xr:uid="{2BD77351-8271-4EF1-8C36-B7F6632812E9}"/>
    <cellStyle name="Normal 5 2 11 3" xfId="11070" xr:uid="{5FE55759-1575-49C5-93E2-831299621829}"/>
    <cellStyle name="Normal 5 2 12" xfId="4781" xr:uid="{00000000-0005-0000-0000-0000F1160000}"/>
    <cellStyle name="Normal 5 2 12 2" xfId="13223" xr:uid="{BB794FFC-DD91-427C-8965-01C845972CA9}"/>
    <cellStyle name="Normal 5 2 13" xfId="9005" xr:uid="{A2DFC30D-B945-45F5-9AFF-D4A4D55CE835}"/>
    <cellStyle name="Normal 5 2 2" xfId="408" xr:uid="{00000000-0005-0000-0000-0000F2160000}"/>
    <cellStyle name="Normal 5 2 2 10" xfId="2563" xr:uid="{00000000-0005-0000-0000-0000F3160000}"/>
    <cellStyle name="Normal 5 2 2 10 2" xfId="6847" xr:uid="{00000000-0005-0000-0000-0000F4160000}"/>
    <cellStyle name="Normal 5 2 2 10 2 2" xfId="15289" xr:uid="{F439BF4F-1508-4F91-AD0E-415E9728939E}"/>
    <cellStyle name="Normal 5 2 2 10 3" xfId="11071" xr:uid="{D8BAB36B-AD94-4381-8404-8CB06B0E6E9B}"/>
    <cellStyle name="Normal 5 2 2 11" xfId="4782" xr:uid="{00000000-0005-0000-0000-0000F5160000}"/>
    <cellStyle name="Normal 5 2 2 11 2" xfId="13224" xr:uid="{42A4D9D1-5711-4453-94C1-BD4C922D9CFB}"/>
    <cellStyle name="Normal 5 2 2 12" xfId="9006" xr:uid="{563A5634-8474-4AC6-A05A-3D3202C50B65}"/>
    <cellStyle name="Normal 5 2 2 2" xfId="409" xr:uid="{00000000-0005-0000-0000-0000F6160000}"/>
    <cellStyle name="Normal 5 2 2 2 10" xfId="4783" xr:uid="{00000000-0005-0000-0000-0000F7160000}"/>
    <cellStyle name="Normal 5 2 2 2 10 2" xfId="13225" xr:uid="{96E88C93-65A0-44FD-8114-4EB06292EE96}"/>
    <cellStyle name="Normal 5 2 2 2 11" xfId="9007" xr:uid="{B567B327-4B92-42AF-AFCA-9EE8D3EFABB0}"/>
    <cellStyle name="Normal 5 2 2 2 2" xfId="410" xr:uid="{00000000-0005-0000-0000-0000F8160000}"/>
    <cellStyle name="Normal 5 2 2 2 2 10" xfId="9008" xr:uid="{E72B4D8E-2C3D-434E-A77B-138C3F021259}"/>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8FAF104D-48FB-4351-B887-490C9A70D535}"/>
    <cellStyle name="Normal 5 2 2 2 2 2 2 2 2 3" xfId="11568" xr:uid="{7BD5281A-ED01-436E-B591-7739A716A2A9}"/>
    <cellStyle name="Normal 5 2 2 2 2 2 2 2 3" xfId="5199" xr:uid="{00000000-0005-0000-0000-0000FE160000}"/>
    <cellStyle name="Normal 5 2 2 2 2 2 2 2 3 2" xfId="13641" xr:uid="{51C1B405-ADE1-4A1C-8D51-52AE5AD3F773}"/>
    <cellStyle name="Normal 5 2 2 2 2 2 2 2 4" xfId="9423" xr:uid="{FE4ED275-B899-4FF4-9D8D-E783CC6ADF43}"/>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683A7971-8EF8-4788-831F-78BC71BE6483}"/>
    <cellStyle name="Normal 5 2 2 2 2 2 2 3 2 3" xfId="11981" xr:uid="{B3D2D414-3862-4316-92EC-34BE591143C4}"/>
    <cellStyle name="Normal 5 2 2 2 2 2 2 3 3" xfId="5612" xr:uid="{00000000-0005-0000-0000-000002170000}"/>
    <cellStyle name="Normal 5 2 2 2 2 2 2 3 3 2" xfId="14054" xr:uid="{BEDD91BE-0789-43E0-B18F-4F99EA8BB8F8}"/>
    <cellStyle name="Normal 5 2 2 2 2 2 2 3 4" xfId="9836" xr:uid="{E655419E-0197-4F95-9950-F4A65BDE25E7}"/>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2A5CF6AB-0BE3-4ABA-8A04-B3F403202C36}"/>
    <cellStyle name="Normal 5 2 2 2 2 2 2 4 2 3" xfId="12394" xr:uid="{BCF62D99-D746-4865-9FFB-AA6D4A1A472D}"/>
    <cellStyle name="Normal 5 2 2 2 2 2 2 4 3" xfId="6025" xr:uid="{00000000-0005-0000-0000-000006170000}"/>
    <cellStyle name="Normal 5 2 2 2 2 2 2 4 3 2" xfId="14467" xr:uid="{B907D700-EC0E-4B70-A97F-256B7E511495}"/>
    <cellStyle name="Normal 5 2 2 2 2 2 2 4 4" xfId="10249" xr:uid="{28D95C14-2E98-4AE6-BE0C-503AEACAC124}"/>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1816B490-28CD-4CE3-9CCC-151005F7A7C6}"/>
    <cellStyle name="Normal 5 2 2 2 2 2 2 5 2 3" xfId="12807" xr:uid="{8A9D6D4B-D7DD-4CE8-9A66-4A7B3485026E}"/>
    <cellStyle name="Normal 5 2 2 2 2 2 2 5 3" xfId="6438" xr:uid="{00000000-0005-0000-0000-00000A170000}"/>
    <cellStyle name="Normal 5 2 2 2 2 2 2 5 3 2" xfId="14880" xr:uid="{A9FF1A9D-252B-42C2-BE20-6DA7C1713961}"/>
    <cellStyle name="Normal 5 2 2 2 2 2 2 5 4" xfId="10662" xr:uid="{60C9A1AE-3025-4265-B594-A5376C6C01AD}"/>
    <cellStyle name="Normal 5 2 2 2 2 2 2 6" xfId="2567" xr:uid="{00000000-0005-0000-0000-00000B170000}"/>
    <cellStyle name="Normal 5 2 2 2 2 2 2 6 2" xfId="6851" xr:uid="{00000000-0005-0000-0000-00000C170000}"/>
    <cellStyle name="Normal 5 2 2 2 2 2 2 6 2 2" xfId="15293" xr:uid="{B547E2B9-2B1E-4619-9DA7-0DF93354D56A}"/>
    <cellStyle name="Normal 5 2 2 2 2 2 2 6 3" xfId="11075" xr:uid="{E753F4CC-20EE-4816-A2FC-7FE8237D1A9D}"/>
    <cellStyle name="Normal 5 2 2 2 2 2 2 7" xfId="4786" xr:uid="{00000000-0005-0000-0000-00000D170000}"/>
    <cellStyle name="Normal 5 2 2 2 2 2 2 7 2" xfId="13228" xr:uid="{1D3A63C6-11EA-4FE3-95B8-D38A2A965376}"/>
    <cellStyle name="Normal 5 2 2 2 2 2 2 8" xfId="9010" xr:uid="{9C18EBCB-9F66-4431-BA53-3519112B8373}"/>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C8A9266C-CD0D-4E6C-A986-716CF0A1A090}"/>
    <cellStyle name="Normal 5 2 2 2 2 2 3 2 3" xfId="11567" xr:uid="{431C9142-A0C4-4D0E-9BBA-A1243913F095}"/>
    <cellStyle name="Normal 5 2 2 2 2 2 3 3" xfId="5198" xr:uid="{00000000-0005-0000-0000-000011170000}"/>
    <cellStyle name="Normal 5 2 2 2 2 2 3 3 2" xfId="13640" xr:uid="{EE63BE11-4B9C-4ECD-8ABB-50E7DA9EB2C9}"/>
    <cellStyle name="Normal 5 2 2 2 2 2 3 4" xfId="9422" xr:uid="{B48F9A76-B599-469F-A117-5D006D1948F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12A03241-F9FF-48B9-82B4-2F944E098170}"/>
    <cellStyle name="Normal 5 2 2 2 2 2 4 2 3" xfId="11980" xr:uid="{55BB7774-3CB9-4097-9ABD-A907ABE7D580}"/>
    <cellStyle name="Normal 5 2 2 2 2 2 4 3" xfId="5611" xr:uid="{00000000-0005-0000-0000-000015170000}"/>
    <cellStyle name="Normal 5 2 2 2 2 2 4 3 2" xfId="14053" xr:uid="{D25A851E-1543-4D8D-B352-E3274C55D50A}"/>
    <cellStyle name="Normal 5 2 2 2 2 2 4 4" xfId="9835" xr:uid="{100D79CA-9123-4EA7-A7DC-498C4F5F60AC}"/>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0FDB2CFC-CB8C-4465-BEC7-EED44AD309D0}"/>
    <cellStyle name="Normal 5 2 2 2 2 2 5 2 3" xfId="12393" xr:uid="{4F7F621C-5088-4052-BDC6-6D9084CE45C4}"/>
    <cellStyle name="Normal 5 2 2 2 2 2 5 3" xfId="6024" xr:uid="{00000000-0005-0000-0000-000019170000}"/>
    <cellStyle name="Normal 5 2 2 2 2 2 5 3 2" xfId="14466" xr:uid="{87B27448-6D3E-4417-973D-06D02F7BAA0E}"/>
    <cellStyle name="Normal 5 2 2 2 2 2 5 4" xfId="10248" xr:uid="{1D84D568-1739-4AB2-998F-9DFD03C4C68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AAB7C144-6C62-4DF1-9E0A-318F1B1B4789}"/>
    <cellStyle name="Normal 5 2 2 2 2 2 6 2 3" xfId="12806" xr:uid="{704DE740-F816-452E-81A4-1421B1A75852}"/>
    <cellStyle name="Normal 5 2 2 2 2 2 6 3" xfId="6437" xr:uid="{00000000-0005-0000-0000-00001D170000}"/>
    <cellStyle name="Normal 5 2 2 2 2 2 6 3 2" xfId="14879" xr:uid="{C22056B4-B175-42A1-A798-B92BF9F91362}"/>
    <cellStyle name="Normal 5 2 2 2 2 2 6 4" xfId="10661" xr:uid="{9FF7C8BB-F9F3-40CF-9A07-C2F7F6FD0650}"/>
    <cellStyle name="Normal 5 2 2 2 2 2 7" xfId="2566" xr:uid="{00000000-0005-0000-0000-00001E170000}"/>
    <cellStyle name="Normal 5 2 2 2 2 2 7 2" xfId="6850" xr:uid="{00000000-0005-0000-0000-00001F170000}"/>
    <cellStyle name="Normal 5 2 2 2 2 2 7 2 2" xfId="15292" xr:uid="{A76CA098-F486-4204-8477-950EEE5C7DAD}"/>
    <cellStyle name="Normal 5 2 2 2 2 2 7 3" xfId="11074" xr:uid="{6AB775E8-3240-4888-93E4-91C5C8921114}"/>
    <cellStyle name="Normal 5 2 2 2 2 2 8" xfId="4785" xr:uid="{00000000-0005-0000-0000-000020170000}"/>
    <cellStyle name="Normal 5 2 2 2 2 2 8 2" xfId="13227" xr:uid="{449C4945-32F5-400C-BE80-63706A12E82F}"/>
    <cellStyle name="Normal 5 2 2 2 2 2 9" xfId="9009" xr:uid="{0460F45B-003A-4033-A081-858B001550E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2F4A145C-DB2B-4CC7-8F19-EF5BF292F085}"/>
    <cellStyle name="Normal 5 2 2 2 2 3 2 2 3" xfId="11569" xr:uid="{4D486D3B-AA79-40BB-8FE6-2DEBBF0F10BC}"/>
    <cellStyle name="Normal 5 2 2 2 2 3 2 3" xfId="5200" xr:uid="{00000000-0005-0000-0000-000025170000}"/>
    <cellStyle name="Normal 5 2 2 2 2 3 2 3 2" xfId="13642" xr:uid="{505E72AC-9211-434F-AB88-7F3F849E945D}"/>
    <cellStyle name="Normal 5 2 2 2 2 3 2 4" xfId="9424" xr:uid="{CD97BA7E-73DF-4B39-9758-17BEB56E0DEB}"/>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410DE569-B463-469C-9023-6E5409C168AD}"/>
    <cellStyle name="Normal 5 2 2 2 2 3 3 2 3" xfId="11982" xr:uid="{5E80F117-FCAE-470B-BAD1-9D39FDD77453}"/>
    <cellStyle name="Normal 5 2 2 2 2 3 3 3" xfId="5613" xr:uid="{00000000-0005-0000-0000-000029170000}"/>
    <cellStyle name="Normal 5 2 2 2 2 3 3 3 2" xfId="14055" xr:uid="{28DA52C6-F069-444B-9AFD-5F27E5C2682A}"/>
    <cellStyle name="Normal 5 2 2 2 2 3 3 4" xfId="9837" xr:uid="{9F0643D6-E6D8-4204-881B-958F0782FD91}"/>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738AC991-EA44-40C9-A563-154411A778A2}"/>
    <cellStyle name="Normal 5 2 2 2 2 3 4 2 3" xfId="12395" xr:uid="{DFA0870E-60AA-451B-8FB8-3FC53DAABEE2}"/>
    <cellStyle name="Normal 5 2 2 2 2 3 4 3" xfId="6026" xr:uid="{00000000-0005-0000-0000-00002D170000}"/>
    <cellStyle name="Normal 5 2 2 2 2 3 4 3 2" xfId="14468" xr:uid="{5FFBE017-B4C0-4972-B4C8-73DE039D0847}"/>
    <cellStyle name="Normal 5 2 2 2 2 3 4 4" xfId="10250" xr:uid="{1D2ABB55-C74E-4AFD-BDF8-80BDEB9FD66E}"/>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307E608C-3E89-44DE-88B9-B40158471AD7}"/>
    <cellStyle name="Normal 5 2 2 2 2 3 5 2 3" xfId="12808" xr:uid="{E02981C4-CDA7-4C53-9FCF-B4C630EE37F5}"/>
    <cellStyle name="Normal 5 2 2 2 2 3 5 3" xfId="6439" xr:uid="{00000000-0005-0000-0000-000031170000}"/>
    <cellStyle name="Normal 5 2 2 2 2 3 5 3 2" xfId="14881" xr:uid="{7CECD000-CD57-484A-8D5E-59F1FB8B9B28}"/>
    <cellStyle name="Normal 5 2 2 2 2 3 5 4" xfId="10663" xr:uid="{11478C3A-A73E-4CAD-9C0F-3F3B3C2BE6F9}"/>
    <cellStyle name="Normal 5 2 2 2 2 3 6" xfId="2568" xr:uid="{00000000-0005-0000-0000-000032170000}"/>
    <cellStyle name="Normal 5 2 2 2 2 3 6 2" xfId="6852" xr:uid="{00000000-0005-0000-0000-000033170000}"/>
    <cellStyle name="Normal 5 2 2 2 2 3 6 2 2" xfId="15294" xr:uid="{DF972534-5796-4E63-9915-7BD24C180FA3}"/>
    <cellStyle name="Normal 5 2 2 2 2 3 6 3" xfId="11076" xr:uid="{69070E2D-45CE-4CA7-83D1-A25D9DAAB83C}"/>
    <cellStyle name="Normal 5 2 2 2 2 3 7" xfId="4787" xr:uid="{00000000-0005-0000-0000-000034170000}"/>
    <cellStyle name="Normal 5 2 2 2 2 3 7 2" xfId="13229" xr:uid="{A69C3D1E-5C8A-43F7-A6BC-93FF32D09985}"/>
    <cellStyle name="Normal 5 2 2 2 2 3 8" xfId="9011" xr:uid="{40CA7E57-4E2C-46E1-885D-D5C443F238F4}"/>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D89A2541-7A91-4F69-8433-6E4B628176EE}"/>
    <cellStyle name="Normal 5 2 2 2 2 4 2 3" xfId="11566" xr:uid="{630F2BEC-3607-4F74-AD66-DD5C1A066E1B}"/>
    <cellStyle name="Normal 5 2 2 2 2 4 3" xfId="5197" xr:uid="{00000000-0005-0000-0000-000038170000}"/>
    <cellStyle name="Normal 5 2 2 2 2 4 3 2" xfId="13639" xr:uid="{B2500DC6-85A1-416F-9424-348D53D5DAE0}"/>
    <cellStyle name="Normal 5 2 2 2 2 4 4" xfId="9421" xr:uid="{1BB00E06-6222-46E1-8402-9BB5B2C5036E}"/>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3123CA8B-96F7-465A-93BF-6DAAE03E0CB6}"/>
    <cellStyle name="Normal 5 2 2 2 2 5 2 3" xfId="11979" xr:uid="{91819A1E-9A0D-40F5-89C7-91361B04262C}"/>
    <cellStyle name="Normal 5 2 2 2 2 5 3" xfId="5610" xr:uid="{00000000-0005-0000-0000-00003C170000}"/>
    <cellStyle name="Normal 5 2 2 2 2 5 3 2" xfId="14052" xr:uid="{BA4FC659-A6C6-4DCC-9B1D-808EDE636E50}"/>
    <cellStyle name="Normal 5 2 2 2 2 5 4" xfId="9834" xr:uid="{AF064BFB-DE55-4173-9627-4119092A79C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3F92F93F-E009-4BF3-A225-8D34FA2DDF7D}"/>
    <cellStyle name="Normal 5 2 2 2 2 6 2 3" xfId="12392" xr:uid="{396BC7F4-6F2C-4561-A755-754A388EC32A}"/>
    <cellStyle name="Normal 5 2 2 2 2 6 3" xfId="6023" xr:uid="{00000000-0005-0000-0000-000040170000}"/>
    <cellStyle name="Normal 5 2 2 2 2 6 3 2" xfId="14465" xr:uid="{BDA660AA-1FBA-4072-BDD1-A48AB0AF54F5}"/>
    <cellStyle name="Normal 5 2 2 2 2 6 4" xfId="10247" xr:uid="{56C7FD28-F43C-49E4-8538-069E5FF0B3B2}"/>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9D9B6E33-BD54-4A75-ADD4-64257E468EE4}"/>
    <cellStyle name="Normal 5 2 2 2 2 7 2 3" xfId="12805" xr:uid="{B18A34C2-7F32-43A0-80D7-5B95E513FB69}"/>
    <cellStyle name="Normal 5 2 2 2 2 7 3" xfId="6436" xr:uid="{00000000-0005-0000-0000-000044170000}"/>
    <cellStyle name="Normal 5 2 2 2 2 7 3 2" xfId="14878" xr:uid="{058886FD-0358-446A-99DE-32469C2AC293}"/>
    <cellStyle name="Normal 5 2 2 2 2 7 4" xfId="10660" xr:uid="{9DB59C0E-8DB9-4F38-821B-273E3C10221A}"/>
    <cellStyle name="Normal 5 2 2 2 2 8" xfId="2565" xr:uid="{00000000-0005-0000-0000-000045170000}"/>
    <cellStyle name="Normal 5 2 2 2 2 8 2" xfId="6849" xr:uid="{00000000-0005-0000-0000-000046170000}"/>
    <cellStyle name="Normal 5 2 2 2 2 8 2 2" xfId="15291" xr:uid="{29DAE6EF-A55F-4BAA-B375-3552646C2522}"/>
    <cellStyle name="Normal 5 2 2 2 2 8 3" xfId="11073" xr:uid="{E535FFE0-AA81-42E4-B8FC-CAF70D80B517}"/>
    <cellStyle name="Normal 5 2 2 2 2 9" xfId="4784" xr:uid="{00000000-0005-0000-0000-000047170000}"/>
    <cellStyle name="Normal 5 2 2 2 2 9 2" xfId="13226" xr:uid="{74867992-8927-4BA2-8D1D-EB955E4524F4}"/>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C9E32FA5-387A-4AED-81F3-2F568F8D559D}"/>
    <cellStyle name="Normal 5 2 2 2 3 2 2 2 3" xfId="11571" xr:uid="{6C3FBCAC-B216-4525-AB9C-0DBDE4AA778C}"/>
    <cellStyle name="Normal 5 2 2 2 3 2 2 3" xfId="5202" xr:uid="{00000000-0005-0000-0000-00004D170000}"/>
    <cellStyle name="Normal 5 2 2 2 3 2 2 3 2" xfId="13644" xr:uid="{1770DB55-E73B-493F-9AD2-AEFE3C0C346A}"/>
    <cellStyle name="Normal 5 2 2 2 3 2 2 4" xfId="9426" xr:uid="{CB519546-C718-4AFB-9DFF-A14E3BA6204C}"/>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F950106E-7591-4AC4-BF98-9F9D90E031D0}"/>
    <cellStyle name="Normal 5 2 2 2 3 2 3 2 3" xfId="11984" xr:uid="{899F586A-BC5C-4643-A1D0-6CF74788BAC4}"/>
    <cellStyle name="Normal 5 2 2 2 3 2 3 3" xfId="5615" xr:uid="{00000000-0005-0000-0000-000051170000}"/>
    <cellStyle name="Normal 5 2 2 2 3 2 3 3 2" xfId="14057" xr:uid="{89C688BF-9A47-47EF-8EC4-64A57B7F77FC}"/>
    <cellStyle name="Normal 5 2 2 2 3 2 3 4" xfId="9839" xr:uid="{27613966-58E5-4371-8A03-651BB8E7A82C}"/>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855D8D62-97CB-4342-B771-3607B173DD76}"/>
    <cellStyle name="Normal 5 2 2 2 3 2 4 2 3" xfId="12397" xr:uid="{AEEC45CD-147F-4F40-987C-31AFE368360D}"/>
    <cellStyle name="Normal 5 2 2 2 3 2 4 3" xfId="6028" xr:uid="{00000000-0005-0000-0000-000055170000}"/>
    <cellStyle name="Normal 5 2 2 2 3 2 4 3 2" xfId="14470" xr:uid="{FACC7E34-ECBD-4C0C-B6BA-748B2E896FBF}"/>
    <cellStyle name="Normal 5 2 2 2 3 2 4 4" xfId="10252" xr:uid="{84504291-A8EA-4B59-ACD5-21A889EB130C}"/>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4F591995-4D09-43FF-B4EA-704276D0D119}"/>
    <cellStyle name="Normal 5 2 2 2 3 2 5 2 3" xfId="12810" xr:uid="{841412F2-FB91-4069-BA20-8AEC005E08AD}"/>
    <cellStyle name="Normal 5 2 2 2 3 2 5 3" xfId="6441" xr:uid="{00000000-0005-0000-0000-000059170000}"/>
    <cellStyle name="Normal 5 2 2 2 3 2 5 3 2" xfId="14883" xr:uid="{999DAF9D-88A0-433F-BAB0-81F76BAD07B4}"/>
    <cellStyle name="Normal 5 2 2 2 3 2 5 4" xfId="10665" xr:uid="{2440AABA-4958-4397-9B83-9D98229638B0}"/>
    <cellStyle name="Normal 5 2 2 2 3 2 6" xfId="2570" xr:uid="{00000000-0005-0000-0000-00005A170000}"/>
    <cellStyle name="Normal 5 2 2 2 3 2 6 2" xfId="6854" xr:uid="{00000000-0005-0000-0000-00005B170000}"/>
    <cellStyle name="Normal 5 2 2 2 3 2 6 2 2" xfId="15296" xr:uid="{CA728B73-1964-4219-B21A-827699020E22}"/>
    <cellStyle name="Normal 5 2 2 2 3 2 6 3" xfId="11078" xr:uid="{FB1DE950-5A01-41DA-AD8F-9D1EB7667DB3}"/>
    <cellStyle name="Normal 5 2 2 2 3 2 7" xfId="4789" xr:uid="{00000000-0005-0000-0000-00005C170000}"/>
    <cellStyle name="Normal 5 2 2 2 3 2 7 2" xfId="13231" xr:uid="{4C0665FD-C41C-44CD-A23C-89EB1DBEC1FC}"/>
    <cellStyle name="Normal 5 2 2 2 3 2 8" xfId="9013" xr:uid="{73580F5E-6550-4B5E-B1FC-62DF9390D898}"/>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ECFFA02E-088E-46F1-AA61-762C5C894630}"/>
    <cellStyle name="Normal 5 2 2 2 3 3 2 3" xfId="11570" xr:uid="{C2D96CFF-92EB-4FE4-8BAE-24D35DFDD110}"/>
    <cellStyle name="Normal 5 2 2 2 3 3 3" xfId="5201" xr:uid="{00000000-0005-0000-0000-000060170000}"/>
    <cellStyle name="Normal 5 2 2 2 3 3 3 2" xfId="13643" xr:uid="{C18CF259-9854-463F-A118-764B7800A1EE}"/>
    <cellStyle name="Normal 5 2 2 2 3 3 4" xfId="9425" xr:uid="{3208DB53-48AB-4C41-9105-A56FE79FE023}"/>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E342B05D-4C3B-4100-BC0F-2275FBED7DE7}"/>
    <cellStyle name="Normal 5 2 2 2 3 4 2 3" xfId="11983" xr:uid="{1D68C7E3-0330-485D-B11F-B5F97D0C7849}"/>
    <cellStyle name="Normal 5 2 2 2 3 4 3" xfId="5614" xr:uid="{00000000-0005-0000-0000-000064170000}"/>
    <cellStyle name="Normal 5 2 2 2 3 4 3 2" xfId="14056" xr:uid="{86983F25-C4AF-4787-99EF-0A35C5BCE5CC}"/>
    <cellStyle name="Normal 5 2 2 2 3 4 4" xfId="9838" xr:uid="{911254C3-1837-483C-AA1C-7DC70693EB67}"/>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94B9718A-E6E5-4BC0-9518-5A360B9E02A8}"/>
    <cellStyle name="Normal 5 2 2 2 3 5 2 3" xfId="12396" xr:uid="{23289E24-5DD6-41E0-A60C-D205077DACC5}"/>
    <cellStyle name="Normal 5 2 2 2 3 5 3" xfId="6027" xr:uid="{00000000-0005-0000-0000-000068170000}"/>
    <cellStyle name="Normal 5 2 2 2 3 5 3 2" xfId="14469" xr:uid="{FBCC9B5A-E501-4357-B3C7-349C1006D063}"/>
    <cellStyle name="Normal 5 2 2 2 3 5 4" xfId="10251" xr:uid="{25917665-373F-4171-823E-8AFF5905282F}"/>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2FAA991C-6CD4-474D-ADAE-AF8F69A3FA55}"/>
    <cellStyle name="Normal 5 2 2 2 3 6 2 3" xfId="12809" xr:uid="{8AE5FC3F-C753-4C05-941D-528417C66B97}"/>
    <cellStyle name="Normal 5 2 2 2 3 6 3" xfId="6440" xr:uid="{00000000-0005-0000-0000-00006C170000}"/>
    <cellStyle name="Normal 5 2 2 2 3 6 3 2" xfId="14882" xr:uid="{069BCFFA-95B6-4A53-890C-83AFB4557B0A}"/>
    <cellStyle name="Normal 5 2 2 2 3 6 4" xfId="10664" xr:uid="{77316719-5FA8-409F-A227-A2F55DB1CE4C}"/>
    <cellStyle name="Normal 5 2 2 2 3 7" xfId="2569" xr:uid="{00000000-0005-0000-0000-00006D170000}"/>
    <cellStyle name="Normal 5 2 2 2 3 7 2" xfId="6853" xr:uid="{00000000-0005-0000-0000-00006E170000}"/>
    <cellStyle name="Normal 5 2 2 2 3 7 2 2" xfId="15295" xr:uid="{EAE82B26-E5DE-4A87-AF57-FCF82873B279}"/>
    <cellStyle name="Normal 5 2 2 2 3 7 3" xfId="11077" xr:uid="{2A79E566-64EE-4BA4-A8E1-2C49FB3455F5}"/>
    <cellStyle name="Normal 5 2 2 2 3 8" xfId="4788" xr:uid="{00000000-0005-0000-0000-00006F170000}"/>
    <cellStyle name="Normal 5 2 2 2 3 8 2" xfId="13230" xr:uid="{86652851-D4AC-4C22-93D1-1DD55857AAD0}"/>
    <cellStyle name="Normal 5 2 2 2 3 9" xfId="9012" xr:uid="{DCDBE14E-AA4B-422B-A1AB-792220444ADD}"/>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0239485C-5246-4985-89B9-E227A6F23E98}"/>
    <cellStyle name="Normal 5 2 2 2 4 2 2 3" xfId="11572" xr:uid="{DEE97DC4-1572-4028-96ED-994A402EF93A}"/>
    <cellStyle name="Normal 5 2 2 2 4 2 3" xfId="5203" xr:uid="{00000000-0005-0000-0000-000074170000}"/>
    <cellStyle name="Normal 5 2 2 2 4 2 3 2" xfId="13645" xr:uid="{FF501D95-4133-45D5-8AD4-8F0A74E2C640}"/>
    <cellStyle name="Normal 5 2 2 2 4 2 4" xfId="9427" xr:uid="{F39DDC07-40B2-4133-8854-E62A0D5EED49}"/>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2B75E01A-9064-4CF7-911E-7922D7055370}"/>
    <cellStyle name="Normal 5 2 2 2 4 3 2 3" xfId="11985" xr:uid="{67488A01-FDB9-4036-AFC0-C6452FD30754}"/>
    <cellStyle name="Normal 5 2 2 2 4 3 3" xfId="5616" xr:uid="{00000000-0005-0000-0000-000078170000}"/>
    <cellStyle name="Normal 5 2 2 2 4 3 3 2" xfId="14058" xr:uid="{84B2236B-0564-42DD-8F4E-5893DB546390}"/>
    <cellStyle name="Normal 5 2 2 2 4 3 4" xfId="9840" xr:uid="{9A2905D4-9B62-4BBE-9CD6-D092343E1D3D}"/>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9CBD1BEA-1538-4085-A294-BCCB7C3E2D26}"/>
    <cellStyle name="Normal 5 2 2 2 4 4 2 3" xfId="12398" xr:uid="{C6C04BEC-CA58-4D65-A536-36042186C008}"/>
    <cellStyle name="Normal 5 2 2 2 4 4 3" xfId="6029" xr:uid="{00000000-0005-0000-0000-00007C170000}"/>
    <cellStyle name="Normal 5 2 2 2 4 4 3 2" xfId="14471" xr:uid="{7F17F9B8-92CF-4CB6-B825-6B80996ADD89}"/>
    <cellStyle name="Normal 5 2 2 2 4 4 4" xfId="10253" xr:uid="{139D7398-67AA-4C82-89CA-A98E78CD7B64}"/>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663C6214-B230-4D87-A37E-26782910A3C2}"/>
    <cellStyle name="Normal 5 2 2 2 4 5 2 3" xfId="12811" xr:uid="{297BDE5F-5623-4D6A-AA6F-B7A18F1405DE}"/>
    <cellStyle name="Normal 5 2 2 2 4 5 3" xfId="6442" xr:uid="{00000000-0005-0000-0000-000080170000}"/>
    <cellStyle name="Normal 5 2 2 2 4 5 3 2" xfId="14884" xr:uid="{FE9B2588-AC27-4EC3-8041-3BFE8E6BF1F7}"/>
    <cellStyle name="Normal 5 2 2 2 4 5 4" xfId="10666" xr:uid="{5172BE7D-D70A-43B3-A329-94A5C34FEA92}"/>
    <cellStyle name="Normal 5 2 2 2 4 6" xfId="2571" xr:uid="{00000000-0005-0000-0000-000081170000}"/>
    <cellStyle name="Normal 5 2 2 2 4 6 2" xfId="6855" xr:uid="{00000000-0005-0000-0000-000082170000}"/>
    <cellStyle name="Normal 5 2 2 2 4 6 2 2" xfId="15297" xr:uid="{6C316B7C-EBCB-40A5-B09E-00CC53ABD5DA}"/>
    <cellStyle name="Normal 5 2 2 2 4 6 3" xfId="11079" xr:uid="{36E40EC4-0180-4848-9BE2-D564283E4F18}"/>
    <cellStyle name="Normal 5 2 2 2 4 7" xfId="4790" xr:uid="{00000000-0005-0000-0000-000083170000}"/>
    <cellStyle name="Normal 5 2 2 2 4 7 2" xfId="13232" xr:uid="{5506719F-0F24-4F6E-B602-2B0FB311B237}"/>
    <cellStyle name="Normal 5 2 2 2 4 8" xfId="9014" xr:uid="{312DEE24-523E-4EB9-AAD4-09402C20E818}"/>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70D13DC3-63D4-4577-8DA2-7565E2E9CB00}"/>
    <cellStyle name="Normal 5 2 2 2 5 2 3" xfId="11565" xr:uid="{4D05CE79-E9BA-4581-AA04-D697CF6DA9E2}"/>
    <cellStyle name="Normal 5 2 2 2 5 3" xfId="5196" xr:uid="{00000000-0005-0000-0000-000087170000}"/>
    <cellStyle name="Normal 5 2 2 2 5 3 2" xfId="13638" xr:uid="{8192E06A-6E83-4BBC-9B5E-3931E0A78A71}"/>
    <cellStyle name="Normal 5 2 2 2 5 4" xfId="9420" xr:uid="{C2AC22C1-6F9D-44A8-A3B7-3CCD4C3BE5EC}"/>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B998726D-14EC-47CD-AC18-C5C47C03F7B2}"/>
    <cellStyle name="Normal 5 2 2 2 6 2 3" xfId="11978" xr:uid="{BACF3769-6BE5-438B-84DE-49B29E67B97F}"/>
    <cellStyle name="Normal 5 2 2 2 6 3" xfId="5609" xr:uid="{00000000-0005-0000-0000-00008B170000}"/>
    <cellStyle name="Normal 5 2 2 2 6 3 2" xfId="14051" xr:uid="{1CD73186-1F44-42FF-AEDB-E98EAADE90BB}"/>
    <cellStyle name="Normal 5 2 2 2 6 4" xfId="9833" xr:uid="{1A1B4919-436F-495C-8E0C-E83FAF6AA421}"/>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6BE67F55-9449-43E3-8B9A-81BCC3A1551B}"/>
    <cellStyle name="Normal 5 2 2 2 7 2 3" xfId="12391" xr:uid="{D727B406-D833-45B0-9BE9-9A8FE0EA603A}"/>
    <cellStyle name="Normal 5 2 2 2 7 3" xfId="6022" xr:uid="{00000000-0005-0000-0000-00008F170000}"/>
    <cellStyle name="Normal 5 2 2 2 7 3 2" xfId="14464" xr:uid="{4AFC6378-298B-460A-ACE6-8C710330A515}"/>
    <cellStyle name="Normal 5 2 2 2 7 4" xfId="10246" xr:uid="{A58047B3-1C22-4CB5-8388-8783EFDE8016}"/>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685B801F-D52D-45BB-BE72-B047D2BEE90C}"/>
    <cellStyle name="Normal 5 2 2 2 8 2 3" xfId="12804" xr:uid="{9D6149D9-D4E6-455F-A881-30339010187B}"/>
    <cellStyle name="Normal 5 2 2 2 8 3" xfId="6435" xr:uid="{00000000-0005-0000-0000-000093170000}"/>
    <cellStyle name="Normal 5 2 2 2 8 3 2" xfId="14877" xr:uid="{07D05946-05D1-4C59-A0B0-EFD49040119C}"/>
    <cellStyle name="Normal 5 2 2 2 8 4" xfId="10659" xr:uid="{3F8F3166-1752-465F-A015-7907F841D207}"/>
    <cellStyle name="Normal 5 2 2 2 9" xfId="2564" xr:uid="{00000000-0005-0000-0000-000094170000}"/>
    <cellStyle name="Normal 5 2 2 2 9 2" xfId="6848" xr:uid="{00000000-0005-0000-0000-000095170000}"/>
    <cellStyle name="Normal 5 2 2 2 9 2 2" xfId="15290" xr:uid="{D5CFCF9B-3EAC-4DC6-B1D4-906154B14B9E}"/>
    <cellStyle name="Normal 5 2 2 2 9 3" xfId="11072" xr:uid="{C37906AD-57CC-4EC9-8FC2-3377B6790F8F}"/>
    <cellStyle name="Normal 5 2 2 3" xfId="417" xr:uid="{00000000-0005-0000-0000-000096170000}"/>
    <cellStyle name="Normal 5 2 2 3 10" xfId="9015" xr:uid="{92C9B0D4-C68F-4CAD-A7AD-90DCD60A73B3}"/>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EEE195F9-AC7B-4F4C-BA70-E16B60FFB526}"/>
    <cellStyle name="Normal 5 2 2 3 2 2 2 2 3" xfId="11575" xr:uid="{CE2AE15C-49E4-4BD7-9DDC-7370086D29D5}"/>
    <cellStyle name="Normal 5 2 2 3 2 2 2 3" xfId="5206" xr:uid="{00000000-0005-0000-0000-00009C170000}"/>
    <cellStyle name="Normal 5 2 2 3 2 2 2 3 2" xfId="13648" xr:uid="{6603392F-5C31-406D-8D33-17646BC228C2}"/>
    <cellStyle name="Normal 5 2 2 3 2 2 2 4" xfId="9430" xr:uid="{63629E10-1E6A-48A3-8F2A-3E7E309BA833}"/>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1593428F-138D-4276-B26B-C46593CB712F}"/>
    <cellStyle name="Normal 5 2 2 3 2 2 3 2 3" xfId="11988" xr:uid="{CA1015DA-359E-47FE-A168-919281DBE608}"/>
    <cellStyle name="Normal 5 2 2 3 2 2 3 3" xfId="5619" xr:uid="{00000000-0005-0000-0000-0000A0170000}"/>
    <cellStyle name="Normal 5 2 2 3 2 2 3 3 2" xfId="14061" xr:uid="{C6F76995-1F12-45BA-AB48-02D67AD0FADC}"/>
    <cellStyle name="Normal 5 2 2 3 2 2 3 4" xfId="9843" xr:uid="{F990627B-5938-4907-A545-A45ADF924D69}"/>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D6AD5D66-1D62-466C-98D3-A348D98FF599}"/>
    <cellStyle name="Normal 5 2 2 3 2 2 4 2 3" xfId="12401" xr:uid="{8BA5AB17-B9C8-49A9-A3A8-31D2C06E3951}"/>
    <cellStyle name="Normal 5 2 2 3 2 2 4 3" xfId="6032" xr:uid="{00000000-0005-0000-0000-0000A4170000}"/>
    <cellStyle name="Normal 5 2 2 3 2 2 4 3 2" xfId="14474" xr:uid="{6D687EF3-DDC8-488E-A9D7-D462023DB8DF}"/>
    <cellStyle name="Normal 5 2 2 3 2 2 4 4" xfId="10256" xr:uid="{C03E6F66-DC1E-4B54-9D0C-BA1D543072B1}"/>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EDB4C105-290F-4EAB-9D75-614BFE35AB49}"/>
    <cellStyle name="Normal 5 2 2 3 2 2 5 2 3" xfId="12814" xr:uid="{A022A424-4609-4E62-BB66-1F958ADCCC94}"/>
    <cellStyle name="Normal 5 2 2 3 2 2 5 3" xfId="6445" xr:uid="{00000000-0005-0000-0000-0000A8170000}"/>
    <cellStyle name="Normal 5 2 2 3 2 2 5 3 2" xfId="14887" xr:uid="{562DCF73-4642-4DA6-BEB1-DA94E8B0B191}"/>
    <cellStyle name="Normal 5 2 2 3 2 2 5 4" xfId="10669" xr:uid="{42E85792-3537-474A-86F8-B4A78937233D}"/>
    <cellStyle name="Normal 5 2 2 3 2 2 6" xfId="2574" xr:uid="{00000000-0005-0000-0000-0000A9170000}"/>
    <cellStyle name="Normal 5 2 2 3 2 2 6 2" xfId="6858" xr:uid="{00000000-0005-0000-0000-0000AA170000}"/>
    <cellStyle name="Normal 5 2 2 3 2 2 6 2 2" xfId="15300" xr:uid="{0AEBC432-FA90-446E-9A3B-79B3F2C1080A}"/>
    <cellStyle name="Normal 5 2 2 3 2 2 6 3" xfId="11082" xr:uid="{5487020C-ACBD-4BB7-B66D-C11C19328922}"/>
    <cellStyle name="Normal 5 2 2 3 2 2 7" xfId="4793" xr:uid="{00000000-0005-0000-0000-0000AB170000}"/>
    <cellStyle name="Normal 5 2 2 3 2 2 7 2" xfId="13235" xr:uid="{9F290A96-0A3B-43C2-9AC0-537753EC5A61}"/>
    <cellStyle name="Normal 5 2 2 3 2 2 8" xfId="9017" xr:uid="{6B9FB180-B0BF-4DF4-B638-3C61E62BF333}"/>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BCDB356F-5236-475A-B7F2-9E5A1671331A}"/>
    <cellStyle name="Normal 5 2 2 3 2 3 2 3" xfId="11574" xr:uid="{F4593460-49DF-40AD-AE88-A8826EA03AFD}"/>
    <cellStyle name="Normal 5 2 2 3 2 3 3" xfId="5205" xr:uid="{00000000-0005-0000-0000-0000AF170000}"/>
    <cellStyle name="Normal 5 2 2 3 2 3 3 2" xfId="13647" xr:uid="{CDD01F58-29A7-4464-BE9E-131E21334A50}"/>
    <cellStyle name="Normal 5 2 2 3 2 3 4" xfId="9429" xr:uid="{3EBFB4C1-097C-471E-ACED-F729EF493B3D}"/>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A7D9BA90-BF51-4E9A-8A98-6503C6F8AEFD}"/>
    <cellStyle name="Normal 5 2 2 3 2 4 2 3" xfId="11987" xr:uid="{B1446C32-5205-4832-892C-486E4FFD83D5}"/>
    <cellStyle name="Normal 5 2 2 3 2 4 3" xfId="5618" xr:uid="{00000000-0005-0000-0000-0000B3170000}"/>
    <cellStyle name="Normal 5 2 2 3 2 4 3 2" xfId="14060" xr:uid="{46069CFA-618E-489B-A8D0-D0D2430E463D}"/>
    <cellStyle name="Normal 5 2 2 3 2 4 4" xfId="9842" xr:uid="{B138FA22-9826-44E0-B49A-32D4DC30D7D8}"/>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92922498-A3A4-4A3B-9BA8-2E212C73A816}"/>
    <cellStyle name="Normal 5 2 2 3 2 5 2 3" xfId="12400" xr:uid="{C36B973B-D965-4EE4-A0A1-E3D9DD877E5B}"/>
    <cellStyle name="Normal 5 2 2 3 2 5 3" xfId="6031" xr:uid="{00000000-0005-0000-0000-0000B7170000}"/>
    <cellStyle name="Normal 5 2 2 3 2 5 3 2" xfId="14473" xr:uid="{12FA65FB-6560-4C15-A365-2F3E505DC1E6}"/>
    <cellStyle name="Normal 5 2 2 3 2 5 4" xfId="10255" xr:uid="{5462338A-8D3E-47A8-B119-0F0FFA7D5E82}"/>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443322E3-2815-4167-8905-970D2964AB27}"/>
    <cellStyle name="Normal 5 2 2 3 2 6 2 3" xfId="12813" xr:uid="{7DF684FC-21B2-4E13-99AD-35C4EB3FBFF6}"/>
    <cellStyle name="Normal 5 2 2 3 2 6 3" xfId="6444" xr:uid="{00000000-0005-0000-0000-0000BB170000}"/>
    <cellStyle name="Normal 5 2 2 3 2 6 3 2" xfId="14886" xr:uid="{F5503A56-5498-4030-B82E-6356849838DB}"/>
    <cellStyle name="Normal 5 2 2 3 2 6 4" xfId="10668" xr:uid="{788CE441-4924-432F-B948-2B83E519A1C5}"/>
    <cellStyle name="Normal 5 2 2 3 2 7" xfId="2573" xr:uid="{00000000-0005-0000-0000-0000BC170000}"/>
    <cellStyle name="Normal 5 2 2 3 2 7 2" xfId="6857" xr:uid="{00000000-0005-0000-0000-0000BD170000}"/>
    <cellStyle name="Normal 5 2 2 3 2 7 2 2" xfId="15299" xr:uid="{D970123A-BAC1-4057-93A7-FB4B908BFB04}"/>
    <cellStyle name="Normal 5 2 2 3 2 7 3" xfId="11081" xr:uid="{36242398-4118-43AD-B0D1-B485285783CB}"/>
    <cellStyle name="Normal 5 2 2 3 2 8" xfId="4792" xr:uid="{00000000-0005-0000-0000-0000BE170000}"/>
    <cellStyle name="Normal 5 2 2 3 2 8 2" xfId="13234" xr:uid="{24D747A8-3460-4500-A9E3-A1B0FB21424C}"/>
    <cellStyle name="Normal 5 2 2 3 2 9" xfId="9016" xr:uid="{4C2AF645-04F4-4D5F-8F3D-A2187C399E27}"/>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B194237D-52D1-4ADD-942D-C9D96D496FAE}"/>
    <cellStyle name="Normal 5 2 2 3 3 2 2 3" xfId="11576" xr:uid="{E64D8A08-A342-40DE-BF07-8FDF8A7D6D1C}"/>
    <cellStyle name="Normal 5 2 2 3 3 2 3" xfId="5207" xr:uid="{00000000-0005-0000-0000-0000C3170000}"/>
    <cellStyle name="Normal 5 2 2 3 3 2 3 2" xfId="13649" xr:uid="{C9082207-D5DA-4FA7-AE95-CF47C08C2824}"/>
    <cellStyle name="Normal 5 2 2 3 3 2 4" xfId="9431" xr:uid="{5237FF59-401F-4838-A773-90C47B915631}"/>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F962DFDF-2FAE-41A0-9F5D-6E82D2B1F444}"/>
    <cellStyle name="Normal 5 2 2 3 3 3 2 3" xfId="11989" xr:uid="{022FD862-0713-43DA-A4C3-C601A7376C19}"/>
    <cellStyle name="Normal 5 2 2 3 3 3 3" xfId="5620" xr:uid="{00000000-0005-0000-0000-0000C7170000}"/>
    <cellStyle name="Normal 5 2 2 3 3 3 3 2" xfId="14062" xr:uid="{48FE526C-AA7C-4AE7-94C1-E4E638C01BE4}"/>
    <cellStyle name="Normal 5 2 2 3 3 3 4" xfId="9844" xr:uid="{8A2F502F-D40C-418E-ACED-84AD8D4DF82E}"/>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58547BA5-7A34-4E22-8AB6-CE1E014C1B69}"/>
    <cellStyle name="Normal 5 2 2 3 3 4 2 3" xfId="12402" xr:uid="{A684D0D2-268C-48F9-AFED-0B3288E3618B}"/>
    <cellStyle name="Normal 5 2 2 3 3 4 3" xfId="6033" xr:uid="{00000000-0005-0000-0000-0000CB170000}"/>
    <cellStyle name="Normal 5 2 2 3 3 4 3 2" xfId="14475" xr:uid="{58655D08-5793-4AF2-AE35-20B9C2C40D2B}"/>
    <cellStyle name="Normal 5 2 2 3 3 4 4" xfId="10257" xr:uid="{88CD1C5C-E257-4D5A-9991-9D4144CBA678}"/>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BCDA44FA-CA2E-4886-B02C-655F0955F273}"/>
    <cellStyle name="Normal 5 2 2 3 3 5 2 3" xfId="12815" xr:uid="{DBED339E-62BF-4AA7-A87C-E6B5A7F10D17}"/>
    <cellStyle name="Normal 5 2 2 3 3 5 3" xfId="6446" xr:uid="{00000000-0005-0000-0000-0000CF170000}"/>
    <cellStyle name="Normal 5 2 2 3 3 5 3 2" xfId="14888" xr:uid="{17603C82-AA12-4CBF-A12E-2C364A4904E8}"/>
    <cellStyle name="Normal 5 2 2 3 3 5 4" xfId="10670" xr:uid="{26DA6E6D-E363-4B2F-B6D9-CC3EC02E2ADA}"/>
    <cellStyle name="Normal 5 2 2 3 3 6" xfId="2575" xr:uid="{00000000-0005-0000-0000-0000D0170000}"/>
    <cellStyle name="Normal 5 2 2 3 3 6 2" xfId="6859" xr:uid="{00000000-0005-0000-0000-0000D1170000}"/>
    <cellStyle name="Normal 5 2 2 3 3 6 2 2" xfId="15301" xr:uid="{804FBDE8-9CE7-431E-803C-69E553216936}"/>
    <cellStyle name="Normal 5 2 2 3 3 6 3" xfId="11083" xr:uid="{28ECF49F-3044-44E5-BFFD-8C64705ECF62}"/>
    <cellStyle name="Normal 5 2 2 3 3 7" xfId="4794" xr:uid="{00000000-0005-0000-0000-0000D2170000}"/>
    <cellStyle name="Normal 5 2 2 3 3 7 2" xfId="13236" xr:uid="{F2438CB6-F1D6-48F1-B687-F8261EE0ED80}"/>
    <cellStyle name="Normal 5 2 2 3 3 8" xfId="9018" xr:uid="{376426C0-4215-4753-B7FC-D3B311FBAEC0}"/>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CD8B5BE9-EF70-425B-A484-B618B186FD53}"/>
    <cellStyle name="Normal 5 2 2 3 4 2 3" xfId="11573" xr:uid="{B88F2C22-6885-4BC2-938F-2D9C8E797C85}"/>
    <cellStyle name="Normal 5 2 2 3 4 3" xfId="5204" xr:uid="{00000000-0005-0000-0000-0000D6170000}"/>
    <cellStyle name="Normal 5 2 2 3 4 3 2" xfId="13646" xr:uid="{CE197430-F178-4B36-8FF3-C7BF640B52EC}"/>
    <cellStyle name="Normal 5 2 2 3 4 4" xfId="9428" xr:uid="{ABF441E8-DDE3-4647-9E94-5FF6D8E2A171}"/>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32BC7C4D-640E-4316-BEFE-1B427F0F9467}"/>
    <cellStyle name="Normal 5 2 2 3 5 2 3" xfId="11986" xr:uid="{8980C849-AB41-4096-B15E-AF4915ACDC8A}"/>
    <cellStyle name="Normal 5 2 2 3 5 3" xfId="5617" xr:uid="{00000000-0005-0000-0000-0000DA170000}"/>
    <cellStyle name="Normal 5 2 2 3 5 3 2" xfId="14059" xr:uid="{C435E29C-2F7A-4E0C-8818-471CEC097FE7}"/>
    <cellStyle name="Normal 5 2 2 3 5 4" xfId="9841" xr:uid="{042FF8E3-2999-4E30-9F00-AF2E5F16FC34}"/>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F04B1363-1C96-4E78-9C36-2EFF39D25636}"/>
    <cellStyle name="Normal 5 2 2 3 6 2 3" xfId="12399" xr:uid="{5E985F30-DEE6-4538-98BC-0AAA0A668219}"/>
    <cellStyle name="Normal 5 2 2 3 6 3" xfId="6030" xr:uid="{00000000-0005-0000-0000-0000DE170000}"/>
    <cellStyle name="Normal 5 2 2 3 6 3 2" xfId="14472" xr:uid="{235C8FB9-58E1-4168-A392-33999957F428}"/>
    <cellStyle name="Normal 5 2 2 3 6 4" xfId="10254" xr:uid="{FBB25B49-4678-44F2-846B-1B544F317074}"/>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58298CD8-F6D6-4EBB-8270-8E7E2006E30F}"/>
    <cellStyle name="Normal 5 2 2 3 7 2 3" xfId="12812" xr:uid="{43A00227-7DFC-4FFB-8220-CDFF4AC4748B}"/>
    <cellStyle name="Normal 5 2 2 3 7 3" xfId="6443" xr:uid="{00000000-0005-0000-0000-0000E2170000}"/>
    <cellStyle name="Normal 5 2 2 3 7 3 2" xfId="14885" xr:uid="{011FB002-0230-40D4-9222-C02D1EFED2BD}"/>
    <cellStyle name="Normal 5 2 2 3 7 4" xfId="10667" xr:uid="{B2952D6D-3BAC-46CE-8799-68ADD35F9FF7}"/>
    <cellStyle name="Normal 5 2 2 3 8" xfId="2572" xr:uid="{00000000-0005-0000-0000-0000E3170000}"/>
    <cellStyle name="Normal 5 2 2 3 8 2" xfId="6856" xr:uid="{00000000-0005-0000-0000-0000E4170000}"/>
    <cellStyle name="Normal 5 2 2 3 8 2 2" xfId="15298" xr:uid="{DAA57AB6-68A3-4116-85C1-8B1A6634C1BF}"/>
    <cellStyle name="Normal 5 2 2 3 8 3" xfId="11080" xr:uid="{1078EEA7-7503-4773-8911-80CE1FFD5376}"/>
    <cellStyle name="Normal 5 2 2 3 9" xfId="4791" xr:uid="{00000000-0005-0000-0000-0000E5170000}"/>
    <cellStyle name="Normal 5 2 2 3 9 2" xfId="13233" xr:uid="{2C7949A3-706D-42F7-B12F-0C44D5CCD1FE}"/>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6E0C9E07-5627-4604-9349-8D114CD95297}"/>
    <cellStyle name="Normal 5 2 2 4 2 2 2 3" xfId="11578" xr:uid="{A4E9B670-670A-407A-A498-679833240DF1}"/>
    <cellStyle name="Normal 5 2 2 4 2 2 3" xfId="5209" xr:uid="{00000000-0005-0000-0000-0000EB170000}"/>
    <cellStyle name="Normal 5 2 2 4 2 2 3 2" xfId="13651" xr:uid="{FA1B746B-F31A-41FE-921A-7DFBC0EAADD8}"/>
    <cellStyle name="Normal 5 2 2 4 2 2 4" xfId="9433" xr:uid="{2C0368A0-DD1B-4460-AD26-7030E5C48E21}"/>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F8C7FC93-358F-46CE-9518-F45EA009EF1C}"/>
    <cellStyle name="Normal 5 2 2 4 2 3 2 3" xfId="11991" xr:uid="{4E2184BD-94B8-4C85-94DB-F189F717AA16}"/>
    <cellStyle name="Normal 5 2 2 4 2 3 3" xfId="5622" xr:uid="{00000000-0005-0000-0000-0000EF170000}"/>
    <cellStyle name="Normal 5 2 2 4 2 3 3 2" xfId="14064" xr:uid="{1BB4236C-EF51-44AA-A3BD-A1E748CCD8A2}"/>
    <cellStyle name="Normal 5 2 2 4 2 3 4" xfId="9846" xr:uid="{13503C8A-6CE5-4185-9C1A-621775F0AEF3}"/>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E4337D4F-BC6B-4F7A-BD70-23429B956AC4}"/>
    <cellStyle name="Normal 5 2 2 4 2 4 2 3" xfId="12404" xr:uid="{50D4B5CD-5164-4791-A6C6-53598ECD5481}"/>
    <cellStyle name="Normal 5 2 2 4 2 4 3" xfId="6035" xr:uid="{00000000-0005-0000-0000-0000F3170000}"/>
    <cellStyle name="Normal 5 2 2 4 2 4 3 2" xfId="14477" xr:uid="{37E217D7-32E2-4D04-A824-E71BF17273CE}"/>
    <cellStyle name="Normal 5 2 2 4 2 4 4" xfId="10259" xr:uid="{CF6F187D-7073-4646-9556-43010E69A3D1}"/>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E2862201-C237-4C05-BB6C-E07B67CAFB62}"/>
    <cellStyle name="Normal 5 2 2 4 2 5 2 3" xfId="12817" xr:uid="{66C29984-5E1E-4139-8CA9-1AB61683844B}"/>
    <cellStyle name="Normal 5 2 2 4 2 5 3" xfId="6448" xr:uid="{00000000-0005-0000-0000-0000F7170000}"/>
    <cellStyle name="Normal 5 2 2 4 2 5 3 2" xfId="14890" xr:uid="{23CA5BAD-8F12-4864-933A-1D177E44965E}"/>
    <cellStyle name="Normal 5 2 2 4 2 5 4" xfId="10672" xr:uid="{DC6B69F8-9379-40DC-8661-E48303259C9A}"/>
    <cellStyle name="Normal 5 2 2 4 2 6" xfId="2577" xr:uid="{00000000-0005-0000-0000-0000F8170000}"/>
    <cellStyle name="Normal 5 2 2 4 2 6 2" xfId="6861" xr:uid="{00000000-0005-0000-0000-0000F9170000}"/>
    <cellStyle name="Normal 5 2 2 4 2 6 2 2" xfId="15303" xr:uid="{65C97969-12AE-4C20-96EE-620FFBFD5126}"/>
    <cellStyle name="Normal 5 2 2 4 2 6 3" xfId="11085" xr:uid="{8A032533-11E3-4269-A9BA-B85BE9879EFB}"/>
    <cellStyle name="Normal 5 2 2 4 2 7" xfId="4796" xr:uid="{00000000-0005-0000-0000-0000FA170000}"/>
    <cellStyle name="Normal 5 2 2 4 2 7 2" xfId="13238" xr:uid="{2945A310-44B0-4F11-A936-84494EEB4EFC}"/>
    <cellStyle name="Normal 5 2 2 4 2 8" xfId="9020" xr:uid="{BFBD9138-733B-4A09-98B2-FF4E40219351}"/>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D0580D27-A618-49F2-8D3E-19A8B707349F}"/>
    <cellStyle name="Normal 5 2 2 4 3 2 3" xfId="11577" xr:uid="{86F4A7F3-9859-48C6-9966-0E8A354F4CA2}"/>
    <cellStyle name="Normal 5 2 2 4 3 3" xfId="5208" xr:uid="{00000000-0005-0000-0000-0000FE170000}"/>
    <cellStyle name="Normal 5 2 2 4 3 3 2" xfId="13650" xr:uid="{C08BA00D-41E3-4E10-B266-4ED45C90508C}"/>
    <cellStyle name="Normal 5 2 2 4 3 4" xfId="9432" xr:uid="{A87F3592-CA00-4E43-B833-F796BA8CACA4}"/>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2BD1E207-1D1F-49F9-91C3-FC2FA2AE9523}"/>
    <cellStyle name="Normal 5 2 2 4 4 2 3" xfId="11990" xr:uid="{08153CD0-84CA-4E30-868E-9D63255E6923}"/>
    <cellStyle name="Normal 5 2 2 4 4 3" xfId="5621" xr:uid="{00000000-0005-0000-0000-000002180000}"/>
    <cellStyle name="Normal 5 2 2 4 4 3 2" xfId="14063" xr:uid="{F32BA611-417E-4119-AEFB-AC36CD806C2A}"/>
    <cellStyle name="Normal 5 2 2 4 4 4" xfId="9845" xr:uid="{A92CFC54-B35A-42E9-8CAB-47F75F02C53B}"/>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ED18DEF4-BCD5-40BA-9B7E-06667C904BF5}"/>
    <cellStyle name="Normal 5 2 2 4 5 2 3" xfId="12403" xr:uid="{148209E0-FE4B-459F-90B0-755400717083}"/>
    <cellStyle name="Normal 5 2 2 4 5 3" xfId="6034" xr:uid="{00000000-0005-0000-0000-000006180000}"/>
    <cellStyle name="Normal 5 2 2 4 5 3 2" xfId="14476" xr:uid="{B3E03A97-F31C-4229-95C0-FB4D5D5CB88A}"/>
    <cellStyle name="Normal 5 2 2 4 5 4" xfId="10258" xr:uid="{F27BA4AB-8399-4BD0-AAAE-26CC42B38FD7}"/>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8EB19B4F-48C6-41AB-BCC1-5A4724BAD0F3}"/>
    <cellStyle name="Normal 5 2 2 4 6 2 3" xfId="12816" xr:uid="{B9565AE0-42AA-47EF-A4E8-C5B8E5CAD71C}"/>
    <cellStyle name="Normal 5 2 2 4 6 3" xfId="6447" xr:uid="{00000000-0005-0000-0000-00000A180000}"/>
    <cellStyle name="Normal 5 2 2 4 6 3 2" xfId="14889" xr:uid="{81199D27-CAE3-48F0-9471-7AEFF11CBC9A}"/>
    <cellStyle name="Normal 5 2 2 4 6 4" xfId="10671" xr:uid="{132A7FF9-F236-45A9-BC04-7BEF66E96ADA}"/>
    <cellStyle name="Normal 5 2 2 4 7" xfId="2576" xr:uid="{00000000-0005-0000-0000-00000B180000}"/>
    <cellStyle name="Normal 5 2 2 4 7 2" xfId="6860" xr:uid="{00000000-0005-0000-0000-00000C180000}"/>
    <cellStyle name="Normal 5 2 2 4 7 2 2" xfId="15302" xr:uid="{15A7B6EF-4948-468B-81B7-339F050D462F}"/>
    <cellStyle name="Normal 5 2 2 4 7 3" xfId="11084" xr:uid="{B2B478E8-4B09-4140-8A8F-BAF30B320502}"/>
    <cellStyle name="Normal 5 2 2 4 8" xfId="4795" xr:uid="{00000000-0005-0000-0000-00000D180000}"/>
    <cellStyle name="Normal 5 2 2 4 8 2" xfId="13237" xr:uid="{0DFA3419-1AEE-4E48-8153-21E18137B856}"/>
    <cellStyle name="Normal 5 2 2 4 9" xfId="9019" xr:uid="{03F97DC4-7399-4DB4-BCB1-A1E258DACA2C}"/>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D09FC68D-28A5-4627-B8AC-CD86522A4FA7}"/>
    <cellStyle name="Normal 5 2 2 5 2 2 3" xfId="11579" xr:uid="{3696793B-EC23-4689-AE52-EE33155EC2FD}"/>
    <cellStyle name="Normal 5 2 2 5 2 3" xfId="5210" xr:uid="{00000000-0005-0000-0000-000012180000}"/>
    <cellStyle name="Normal 5 2 2 5 2 3 2" xfId="13652" xr:uid="{936AB3E8-D80D-4C00-B384-932B2FAA03FC}"/>
    <cellStyle name="Normal 5 2 2 5 2 4" xfId="9434" xr:uid="{C5D00770-9F08-42B3-92F2-784B6244A268}"/>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756F3C69-A2F8-4163-9AA4-FE371A267479}"/>
    <cellStyle name="Normal 5 2 2 5 3 2 3" xfId="11992" xr:uid="{B3EB8E23-B11E-4F5C-A1AC-FB00B976B34A}"/>
    <cellStyle name="Normal 5 2 2 5 3 3" xfId="5623" xr:uid="{00000000-0005-0000-0000-000016180000}"/>
    <cellStyle name="Normal 5 2 2 5 3 3 2" xfId="14065" xr:uid="{9A475358-B5E1-444F-96E1-2633188254A6}"/>
    <cellStyle name="Normal 5 2 2 5 3 4" xfId="9847" xr:uid="{AC698C02-7F56-4A28-85BE-7DEE9453E6D0}"/>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D3279F5F-20F4-4F5B-A041-1385BC045CA2}"/>
    <cellStyle name="Normal 5 2 2 5 4 2 3" xfId="12405" xr:uid="{EB450607-0098-4FD7-8262-53C016F60E58}"/>
    <cellStyle name="Normal 5 2 2 5 4 3" xfId="6036" xr:uid="{00000000-0005-0000-0000-00001A180000}"/>
    <cellStyle name="Normal 5 2 2 5 4 3 2" xfId="14478" xr:uid="{83F0C209-6E03-4425-A159-0F64B2FFCE66}"/>
    <cellStyle name="Normal 5 2 2 5 4 4" xfId="10260" xr:uid="{F29B48C6-1B64-4B3C-93D0-45EC704E4BD9}"/>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79889145-DD26-4500-B1E3-60F8BCF4E7C6}"/>
    <cellStyle name="Normal 5 2 2 5 5 2 3" xfId="12818" xr:uid="{C675530F-CEB1-4E2C-B7AD-7F128A438106}"/>
    <cellStyle name="Normal 5 2 2 5 5 3" xfId="6449" xr:uid="{00000000-0005-0000-0000-00001E180000}"/>
    <cellStyle name="Normal 5 2 2 5 5 3 2" xfId="14891" xr:uid="{D998E5EC-DCB3-4562-8136-52676249366E}"/>
    <cellStyle name="Normal 5 2 2 5 5 4" xfId="10673" xr:uid="{3FF0EF03-693D-4F80-8C10-D867F38577DF}"/>
    <cellStyle name="Normal 5 2 2 5 6" xfId="2578" xr:uid="{00000000-0005-0000-0000-00001F180000}"/>
    <cellStyle name="Normal 5 2 2 5 6 2" xfId="6862" xr:uid="{00000000-0005-0000-0000-000020180000}"/>
    <cellStyle name="Normal 5 2 2 5 6 2 2" xfId="15304" xr:uid="{329DF249-D847-404F-9DE5-CA9CAAEFC87A}"/>
    <cellStyle name="Normal 5 2 2 5 6 3" xfId="11086" xr:uid="{5A28EA9B-8513-4C62-8548-22FAA536ED43}"/>
    <cellStyle name="Normal 5 2 2 5 7" xfId="4797" xr:uid="{00000000-0005-0000-0000-000021180000}"/>
    <cellStyle name="Normal 5 2 2 5 7 2" xfId="13239" xr:uid="{B20096D3-B0BC-40BD-938C-B76EC965F497}"/>
    <cellStyle name="Normal 5 2 2 5 8" xfId="9021" xr:uid="{F9FDE0A6-CE43-4359-B6E9-C22F558B6CB2}"/>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06D6501A-0C23-490B-A1E9-136B5660E71C}"/>
    <cellStyle name="Normal 5 2 2 6 2 3" xfId="11564" xr:uid="{8F368588-4F3B-485C-A4A4-6DBFF332FDDB}"/>
    <cellStyle name="Normal 5 2 2 6 3" xfId="5195" xr:uid="{00000000-0005-0000-0000-000025180000}"/>
    <cellStyle name="Normal 5 2 2 6 3 2" xfId="13637" xr:uid="{38C0EF63-C7E5-493C-9287-77F7976FAF10}"/>
    <cellStyle name="Normal 5 2 2 6 4" xfId="9419" xr:uid="{622D9756-AB3F-4305-B7CE-A55B2184131E}"/>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CBE17C64-94F6-4713-9F6E-9261A59F0A0C}"/>
    <cellStyle name="Normal 5 2 2 7 2 3" xfId="11977" xr:uid="{AEA4DC07-014A-49FB-AAD7-6446BEB8BCB7}"/>
    <cellStyle name="Normal 5 2 2 7 3" xfId="5608" xr:uid="{00000000-0005-0000-0000-000029180000}"/>
    <cellStyle name="Normal 5 2 2 7 3 2" xfId="14050" xr:uid="{307105A3-16CE-43DE-83FB-409DC25E4BD4}"/>
    <cellStyle name="Normal 5 2 2 7 4" xfId="9832" xr:uid="{E94A2774-726D-47F7-92FF-A6AA431C1FE4}"/>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1FF02F49-E82B-4548-B1CB-20B281F7A3F1}"/>
    <cellStyle name="Normal 5 2 2 8 2 3" xfId="12390" xr:uid="{59ACFAA6-C990-4FED-9048-EEF87F14240C}"/>
    <cellStyle name="Normal 5 2 2 8 3" xfId="6021" xr:uid="{00000000-0005-0000-0000-00002D180000}"/>
    <cellStyle name="Normal 5 2 2 8 3 2" xfId="14463" xr:uid="{2A40DC2F-18C0-4493-B6C3-4776E750508D}"/>
    <cellStyle name="Normal 5 2 2 8 4" xfId="10245" xr:uid="{6D27AF94-5A10-45FE-9819-5C9605AB95A9}"/>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74D6C65B-9575-40CC-B79B-792412D24FC9}"/>
    <cellStyle name="Normal 5 2 2 9 2 3" xfId="12803" xr:uid="{48EAA70F-9624-4B49-9C1D-CF06B3ABAC89}"/>
    <cellStyle name="Normal 5 2 2 9 3" xfId="6434" xr:uid="{00000000-0005-0000-0000-000031180000}"/>
    <cellStyle name="Normal 5 2 2 9 3 2" xfId="14876" xr:uid="{1B225625-9202-4C23-A918-64DE3E2DDA7D}"/>
    <cellStyle name="Normal 5 2 2 9 4" xfId="10658" xr:uid="{093FE4BE-62CA-48CF-AEAF-142BE8FECF7C}"/>
    <cellStyle name="Normal 5 2 3" xfId="424" xr:uid="{00000000-0005-0000-0000-000032180000}"/>
    <cellStyle name="Normal 5 2 3 10" xfId="4798" xr:uid="{00000000-0005-0000-0000-000033180000}"/>
    <cellStyle name="Normal 5 2 3 10 2" xfId="13240" xr:uid="{F7F547F0-A520-4585-956B-97E63824F0A5}"/>
    <cellStyle name="Normal 5 2 3 11" xfId="9022" xr:uid="{ECA8524D-7320-4D3F-9B7A-9B0EFCA9D7C4}"/>
    <cellStyle name="Normal 5 2 3 2" xfId="425" xr:uid="{00000000-0005-0000-0000-000034180000}"/>
    <cellStyle name="Normal 5 2 3 2 10" xfId="9023" xr:uid="{A0DBF4D8-4F8D-424E-B4A1-B72622A0522B}"/>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5E2B732B-7B1D-4811-9D13-8279E6C3869A}"/>
    <cellStyle name="Normal 5 2 3 2 2 2 2 2 3" xfId="11583" xr:uid="{4898CCE0-B2F0-4BD8-868D-FCA73D7B5DD2}"/>
    <cellStyle name="Normal 5 2 3 2 2 2 2 3" xfId="5214" xr:uid="{00000000-0005-0000-0000-00003A180000}"/>
    <cellStyle name="Normal 5 2 3 2 2 2 2 3 2" xfId="13656" xr:uid="{30FDAD10-A8E9-4D11-9F41-1EE3E0766F4D}"/>
    <cellStyle name="Normal 5 2 3 2 2 2 2 4" xfId="9438" xr:uid="{47BD02E3-864A-46AA-891E-5F660D33C1EF}"/>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13E62E36-2AC7-417E-A200-3D1728DD75B4}"/>
    <cellStyle name="Normal 5 2 3 2 2 2 3 2 3" xfId="11996" xr:uid="{27C4DE8E-E7C5-4717-A621-621131E3585D}"/>
    <cellStyle name="Normal 5 2 3 2 2 2 3 3" xfId="5627" xr:uid="{00000000-0005-0000-0000-00003E180000}"/>
    <cellStyle name="Normal 5 2 3 2 2 2 3 3 2" xfId="14069" xr:uid="{65077E3E-6132-4725-9394-AE029B6B04AF}"/>
    <cellStyle name="Normal 5 2 3 2 2 2 3 4" xfId="9851" xr:uid="{33E6A18B-FF7A-4DF1-A74C-039B40723224}"/>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5F2EF4AC-21A8-4D0D-911E-87E42E06995D}"/>
    <cellStyle name="Normal 5 2 3 2 2 2 4 2 3" xfId="12409" xr:uid="{CEA91D68-7515-4874-8376-A58F8745206D}"/>
    <cellStyle name="Normal 5 2 3 2 2 2 4 3" xfId="6040" xr:uid="{00000000-0005-0000-0000-000042180000}"/>
    <cellStyle name="Normal 5 2 3 2 2 2 4 3 2" xfId="14482" xr:uid="{5A98F1C8-3053-4824-A1C2-BB858DE3F6D4}"/>
    <cellStyle name="Normal 5 2 3 2 2 2 4 4" xfId="10264" xr:uid="{419CCF08-0C4A-4665-93B0-BF15986A667F}"/>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219A084F-4746-4975-BF37-A8578B71F887}"/>
    <cellStyle name="Normal 5 2 3 2 2 2 5 2 3" xfId="12822" xr:uid="{97490630-BBEB-49B9-BAED-1927D351F871}"/>
    <cellStyle name="Normal 5 2 3 2 2 2 5 3" xfId="6453" xr:uid="{00000000-0005-0000-0000-000046180000}"/>
    <cellStyle name="Normal 5 2 3 2 2 2 5 3 2" xfId="14895" xr:uid="{BABBBB3E-22EE-412F-B2FF-40E8677A9CF7}"/>
    <cellStyle name="Normal 5 2 3 2 2 2 5 4" xfId="10677" xr:uid="{1E55A94C-01DF-4763-8B31-2F3DAEDB26F9}"/>
    <cellStyle name="Normal 5 2 3 2 2 2 6" xfId="2582" xr:uid="{00000000-0005-0000-0000-000047180000}"/>
    <cellStyle name="Normal 5 2 3 2 2 2 6 2" xfId="6866" xr:uid="{00000000-0005-0000-0000-000048180000}"/>
    <cellStyle name="Normal 5 2 3 2 2 2 6 2 2" xfId="15308" xr:uid="{184CE5CC-88E9-4463-A1A8-64D25456ED54}"/>
    <cellStyle name="Normal 5 2 3 2 2 2 6 3" xfId="11090" xr:uid="{3165C619-1848-4D1F-A2D3-15BEC58EDCAC}"/>
    <cellStyle name="Normal 5 2 3 2 2 2 7" xfId="4801" xr:uid="{00000000-0005-0000-0000-000049180000}"/>
    <cellStyle name="Normal 5 2 3 2 2 2 7 2" xfId="13243" xr:uid="{046815E4-4B11-4EB7-A501-FB3290290C19}"/>
    <cellStyle name="Normal 5 2 3 2 2 2 8" xfId="9025" xr:uid="{7BAE6592-5EBA-499A-A488-D18276C6E28A}"/>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DC8C3164-404D-4080-A2E8-AE0FEF39DE64}"/>
    <cellStyle name="Normal 5 2 3 2 2 3 2 3" xfId="11582" xr:uid="{A22D8B75-2BEE-4A91-BEDB-C8CB5B7CB500}"/>
    <cellStyle name="Normal 5 2 3 2 2 3 3" xfId="5213" xr:uid="{00000000-0005-0000-0000-00004D180000}"/>
    <cellStyle name="Normal 5 2 3 2 2 3 3 2" xfId="13655" xr:uid="{432511EB-0D30-4FCF-A54E-C1300ADD1583}"/>
    <cellStyle name="Normal 5 2 3 2 2 3 4" xfId="9437" xr:uid="{4620F5B4-08FA-4591-B0A6-1176C1450857}"/>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FE6DBB62-7F68-4906-BF4F-1E3692D47D14}"/>
    <cellStyle name="Normal 5 2 3 2 2 4 2 3" xfId="11995" xr:uid="{F670A8ED-3060-418A-B3B2-00D55712EB61}"/>
    <cellStyle name="Normal 5 2 3 2 2 4 3" xfId="5626" xr:uid="{00000000-0005-0000-0000-000051180000}"/>
    <cellStyle name="Normal 5 2 3 2 2 4 3 2" xfId="14068" xr:uid="{0A1D6B1F-7B75-4FAE-8AE7-BA3767D91DFB}"/>
    <cellStyle name="Normal 5 2 3 2 2 4 4" xfId="9850" xr:uid="{1D48037B-D5B3-4D77-A7F6-5273B9A04566}"/>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A9D8DFCC-8551-4443-AB1E-17782275F3B6}"/>
    <cellStyle name="Normal 5 2 3 2 2 5 2 3" xfId="12408" xr:uid="{56C51E9F-32EA-4E8D-B145-EB5407BF26EA}"/>
    <cellStyle name="Normal 5 2 3 2 2 5 3" xfId="6039" xr:uid="{00000000-0005-0000-0000-000055180000}"/>
    <cellStyle name="Normal 5 2 3 2 2 5 3 2" xfId="14481" xr:uid="{6080FCC4-3FAE-433C-ABCC-94D302DB79E4}"/>
    <cellStyle name="Normal 5 2 3 2 2 5 4" xfId="10263" xr:uid="{31648DE7-40A4-4EDC-8360-209C0F2BF507}"/>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C320158B-B7E1-45B6-9EF4-55683ADFD500}"/>
    <cellStyle name="Normal 5 2 3 2 2 6 2 3" xfId="12821" xr:uid="{D993A467-35CC-4558-ACD6-9E9A077F2904}"/>
    <cellStyle name="Normal 5 2 3 2 2 6 3" xfId="6452" xr:uid="{00000000-0005-0000-0000-000059180000}"/>
    <cellStyle name="Normal 5 2 3 2 2 6 3 2" xfId="14894" xr:uid="{20A1AACE-963A-40DA-9FB1-B373CD40C40F}"/>
    <cellStyle name="Normal 5 2 3 2 2 6 4" xfId="10676" xr:uid="{5A6376AA-86E2-4ED4-877A-9875FCBF54B5}"/>
    <cellStyle name="Normal 5 2 3 2 2 7" xfId="2581" xr:uid="{00000000-0005-0000-0000-00005A180000}"/>
    <cellStyle name="Normal 5 2 3 2 2 7 2" xfId="6865" xr:uid="{00000000-0005-0000-0000-00005B180000}"/>
    <cellStyle name="Normal 5 2 3 2 2 7 2 2" xfId="15307" xr:uid="{D0D3A783-5E9A-43DA-BC52-0C02E555C8B3}"/>
    <cellStyle name="Normal 5 2 3 2 2 7 3" xfId="11089" xr:uid="{8F499311-175A-43BD-A7B9-DB365D48B35B}"/>
    <cellStyle name="Normal 5 2 3 2 2 8" xfId="4800" xr:uid="{00000000-0005-0000-0000-00005C180000}"/>
    <cellStyle name="Normal 5 2 3 2 2 8 2" xfId="13242" xr:uid="{DC4D632A-5EF9-4438-A315-6B1430AB90CE}"/>
    <cellStyle name="Normal 5 2 3 2 2 9" xfId="9024" xr:uid="{DF333BE2-AF07-4070-8B20-EDE9CC94CB7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013B024C-AF49-401D-9546-463C94220D4D}"/>
    <cellStyle name="Normal 5 2 3 2 3 2 2 3" xfId="11584" xr:uid="{60893161-3052-419C-9C53-F35D48B18BFD}"/>
    <cellStyle name="Normal 5 2 3 2 3 2 3" xfId="5215" xr:uid="{00000000-0005-0000-0000-000061180000}"/>
    <cellStyle name="Normal 5 2 3 2 3 2 3 2" xfId="13657" xr:uid="{34160E39-8290-414F-83A8-2D785143C326}"/>
    <cellStyle name="Normal 5 2 3 2 3 2 4" xfId="9439" xr:uid="{21175065-6A6E-41E0-A8E2-0941DDE7BC67}"/>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D5D6430C-B34D-45BA-B048-AA7B788DC082}"/>
    <cellStyle name="Normal 5 2 3 2 3 3 2 3" xfId="11997" xr:uid="{9DBA14D7-33F9-4837-B6DB-A43A3C526C43}"/>
    <cellStyle name="Normal 5 2 3 2 3 3 3" xfId="5628" xr:uid="{00000000-0005-0000-0000-000065180000}"/>
    <cellStyle name="Normal 5 2 3 2 3 3 3 2" xfId="14070" xr:uid="{1907C971-4961-4E58-93E9-387894168C59}"/>
    <cellStyle name="Normal 5 2 3 2 3 3 4" xfId="9852" xr:uid="{D7CFADD2-F300-4E4D-937B-2649B2603165}"/>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E58C2014-03A6-4D20-9AE6-B0C7673E8863}"/>
    <cellStyle name="Normal 5 2 3 2 3 4 2 3" xfId="12410" xr:uid="{81B623D1-C6E9-4C08-B899-CEB67E500D04}"/>
    <cellStyle name="Normal 5 2 3 2 3 4 3" xfId="6041" xr:uid="{00000000-0005-0000-0000-000069180000}"/>
    <cellStyle name="Normal 5 2 3 2 3 4 3 2" xfId="14483" xr:uid="{9D660863-5A5D-4D76-BB48-3DA887C109E8}"/>
    <cellStyle name="Normal 5 2 3 2 3 4 4" xfId="10265" xr:uid="{BA7DB68D-638C-4657-ABD8-EB7E1528D46C}"/>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4ACB95BE-05C3-44F6-943C-84B0F7310412}"/>
    <cellStyle name="Normal 5 2 3 2 3 5 2 3" xfId="12823" xr:uid="{B4F311AF-EF26-4A6B-9418-31B74070DE38}"/>
    <cellStyle name="Normal 5 2 3 2 3 5 3" xfId="6454" xr:uid="{00000000-0005-0000-0000-00006D180000}"/>
    <cellStyle name="Normal 5 2 3 2 3 5 3 2" xfId="14896" xr:uid="{D196D2FC-9650-4E26-90A6-1F113E9538A3}"/>
    <cellStyle name="Normal 5 2 3 2 3 5 4" xfId="10678" xr:uid="{1E286FD0-D059-4FAF-AD81-77209F5C6258}"/>
    <cellStyle name="Normal 5 2 3 2 3 6" xfId="2583" xr:uid="{00000000-0005-0000-0000-00006E180000}"/>
    <cellStyle name="Normal 5 2 3 2 3 6 2" xfId="6867" xr:uid="{00000000-0005-0000-0000-00006F180000}"/>
    <cellStyle name="Normal 5 2 3 2 3 6 2 2" xfId="15309" xr:uid="{98070868-CF6D-4D76-92F4-69CF9499FEA2}"/>
    <cellStyle name="Normal 5 2 3 2 3 6 3" xfId="11091" xr:uid="{7421CE32-5FA8-466E-81E9-B46BAE35ACAC}"/>
    <cellStyle name="Normal 5 2 3 2 3 7" xfId="4802" xr:uid="{00000000-0005-0000-0000-000070180000}"/>
    <cellStyle name="Normal 5 2 3 2 3 7 2" xfId="13244" xr:uid="{E0A9BD1F-87AC-495D-950D-479AF54615C3}"/>
    <cellStyle name="Normal 5 2 3 2 3 8" xfId="9026" xr:uid="{F55E5216-7112-484D-82A3-E04B80612329}"/>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5D1253F8-6049-4736-9FCD-76FB36D6A779}"/>
    <cellStyle name="Normal 5 2 3 2 4 2 3" xfId="11581" xr:uid="{11FE5575-02BC-41D4-988F-6BD47A89655B}"/>
    <cellStyle name="Normal 5 2 3 2 4 3" xfId="5212" xr:uid="{00000000-0005-0000-0000-000074180000}"/>
    <cellStyle name="Normal 5 2 3 2 4 3 2" xfId="13654" xr:uid="{394C4E9E-C283-4E1D-B890-16456B95CF2B}"/>
    <cellStyle name="Normal 5 2 3 2 4 4" xfId="9436" xr:uid="{D6BB06C1-373D-4980-855A-A560AEE7B3FE}"/>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E3EAFCA5-C9C3-4EC9-9D14-895BC18775E0}"/>
    <cellStyle name="Normal 5 2 3 2 5 2 3" xfId="11994" xr:uid="{10090E34-FD9D-4B5F-B079-8EBE5E524977}"/>
    <cellStyle name="Normal 5 2 3 2 5 3" xfId="5625" xr:uid="{00000000-0005-0000-0000-000078180000}"/>
    <cellStyle name="Normal 5 2 3 2 5 3 2" xfId="14067" xr:uid="{22D75988-B6EA-466B-A1C3-07994672F92F}"/>
    <cellStyle name="Normal 5 2 3 2 5 4" xfId="9849" xr:uid="{74665E5D-15DF-416D-A674-382C9AD15866}"/>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0E242FCB-E5ED-4597-9247-6AB9FE799FF1}"/>
    <cellStyle name="Normal 5 2 3 2 6 2 3" xfId="12407" xr:uid="{0A927797-B14A-40D0-993F-3C55C5BE0BA7}"/>
    <cellStyle name="Normal 5 2 3 2 6 3" xfId="6038" xr:uid="{00000000-0005-0000-0000-00007C180000}"/>
    <cellStyle name="Normal 5 2 3 2 6 3 2" xfId="14480" xr:uid="{C6E663B9-0D83-48E1-8EDF-1DD8FB0304C8}"/>
    <cellStyle name="Normal 5 2 3 2 6 4" xfId="10262" xr:uid="{950DFAFB-7604-41CE-B036-180A1E8335C6}"/>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35C1A665-6502-4720-81E1-567970C5B2EC}"/>
    <cellStyle name="Normal 5 2 3 2 7 2 3" xfId="12820" xr:uid="{64086D80-9B49-4B9A-91B7-12234589EF98}"/>
    <cellStyle name="Normal 5 2 3 2 7 3" xfId="6451" xr:uid="{00000000-0005-0000-0000-000080180000}"/>
    <cellStyle name="Normal 5 2 3 2 7 3 2" xfId="14893" xr:uid="{4BD82E8C-5DEB-4F79-AA7D-E8A725913C88}"/>
    <cellStyle name="Normal 5 2 3 2 7 4" xfId="10675" xr:uid="{5A5062B1-62D7-4C98-A90A-E966FE459FA4}"/>
    <cellStyle name="Normal 5 2 3 2 8" xfId="2580" xr:uid="{00000000-0005-0000-0000-000081180000}"/>
    <cellStyle name="Normal 5 2 3 2 8 2" xfId="6864" xr:uid="{00000000-0005-0000-0000-000082180000}"/>
    <cellStyle name="Normal 5 2 3 2 8 2 2" xfId="15306" xr:uid="{E1135F32-96CB-4822-83D7-93E2474ED066}"/>
    <cellStyle name="Normal 5 2 3 2 8 3" xfId="11088" xr:uid="{CD502AF9-900B-418E-B05E-0D2BF060CDF2}"/>
    <cellStyle name="Normal 5 2 3 2 9" xfId="4799" xr:uid="{00000000-0005-0000-0000-000083180000}"/>
    <cellStyle name="Normal 5 2 3 2 9 2" xfId="13241" xr:uid="{812D3DCF-8EA6-431C-8E26-992556EE6F13}"/>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5805BEF3-B461-4D69-AD27-22AB965DE99F}"/>
    <cellStyle name="Normal 5 2 3 3 2 2 2 3" xfId="11586" xr:uid="{4A7063AC-D439-4104-93A2-3DB1B95257CC}"/>
    <cellStyle name="Normal 5 2 3 3 2 2 3" xfId="5217" xr:uid="{00000000-0005-0000-0000-000089180000}"/>
    <cellStyle name="Normal 5 2 3 3 2 2 3 2" xfId="13659" xr:uid="{1D622476-6D70-40C9-9924-8B0BA58777D5}"/>
    <cellStyle name="Normal 5 2 3 3 2 2 4" xfId="9441" xr:uid="{023C948E-D3C4-4BF6-8615-CC82F1602366}"/>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7168BC99-D92F-4EB9-B1BD-72EBE1AA5901}"/>
    <cellStyle name="Normal 5 2 3 3 2 3 2 3" xfId="11999" xr:uid="{593C7541-4EDB-40FC-95BE-8AB919FC1BFC}"/>
    <cellStyle name="Normal 5 2 3 3 2 3 3" xfId="5630" xr:uid="{00000000-0005-0000-0000-00008D180000}"/>
    <cellStyle name="Normal 5 2 3 3 2 3 3 2" xfId="14072" xr:uid="{D23F2E7D-9D6D-42B7-89CC-DB6C78DE05E6}"/>
    <cellStyle name="Normal 5 2 3 3 2 3 4" xfId="9854" xr:uid="{327E8290-ADD8-4079-9B3F-9E8D2339B184}"/>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28379BF9-F8C1-4F3E-B39B-24C921B46014}"/>
    <cellStyle name="Normal 5 2 3 3 2 4 2 3" xfId="12412" xr:uid="{081EBD0E-7180-431A-BFED-5A6465631A5D}"/>
    <cellStyle name="Normal 5 2 3 3 2 4 3" xfId="6043" xr:uid="{00000000-0005-0000-0000-000091180000}"/>
    <cellStyle name="Normal 5 2 3 3 2 4 3 2" xfId="14485" xr:uid="{C959D35E-3FDE-42AE-B443-B1B2E9869403}"/>
    <cellStyle name="Normal 5 2 3 3 2 4 4" xfId="10267" xr:uid="{635E92FF-CB4E-4C6D-8AAD-AFC3E6F84596}"/>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EF6C4615-50AE-4536-A1F2-70669D5E8DE6}"/>
    <cellStyle name="Normal 5 2 3 3 2 5 2 3" xfId="12825" xr:uid="{6FB254B7-30BE-4977-97CB-D7C12EBCA8DA}"/>
    <cellStyle name="Normal 5 2 3 3 2 5 3" xfId="6456" xr:uid="{00000000-0005-0000-0000-000095180000}"/>
    <cellStyle name="Normal 5 2 3 3 2 5 3 2" xfId="14898" xr:uid="{8A9004E1-ED8E-4D6A-853D-4C42019CC1FC}"/>
    <cellStyle name="Normal 5 2 3 3 2 5 4" xfId="10680" xr:uid="{036AC93E-A8D3-43B5-812C-1A6ECC921218}"/>
    <cellStyle name="Normal 5 2 3 3 2 6" xfId="2585" xr:uid="{00000000-0005-0000-0000-000096180000}"/>
    <cellStyle name="Normal 5 2 3 3 2 6 2" xfId="6869" xr:uid="{00000000-0005-0000-0000-000097180000}"/>
    <cellStyle name="Normal 5 2 3 3 2 6 2 2" xfId="15311" xr:uid="{9F4A5EAB-444A-4F26-BBA3-652CA5016A75}"/>
    <cellStyle name="Normal 5 2 3 3 2 6 3" xfId="11093" xr:uid="{7E9D0512-FD78-4C88-9A90-3C503A4DCCFE}"/>
    <cellStyle name="Normal 5 2 3 3 2 7" xfId="4804" xr:uid="{00000000-0005-0000-0000-000098180000}"/>
    <cellStyle name="Normal 5 2 3 3 2 7 2" xfId="13246" xr:uid="{76E154AE-FAA9-4A89-9DA1-5B8D8DE0D045}"/>
    <cellStyle name="Normal 5 2 3 3 2 8" xfId="9028" xr:uid="{F0E6ABAF-A61D-4949-8EA3-DC03D0059CB4}"/>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8392F0B6-7C1A-401D-BED0-13E5C7F7CFD4}"/>
    <cellStyle name="Normal 5 2 3 3 3 2 3" xfId="11585" xr:uid="{7414D0C1-3734-4F5C-A2A6-73221A686F5E}"/>
    <cellStyle name="Normal 5 2 3 3 3 3" xfId="5216" xr:uid="{00000000-0005-0000-0000-00009C180000}"/>
    <cellStyle name="Normal 5 2 3 3 3 3 2" xfId="13658" xr:uid="{856D9596-180B-42B1-8FEC-B5A713E30AF5}"/>
    <cellStyle name="Normal 5 2 3 3 3 4" xfId="9440" xr:uid="{D4775FF3-765C-4A62-A38A-F2A4772A3F13}"/>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9191A9B8-9C8F-4FEF-8ECC-9531B669F0B8}"/>
    <cellStyle name="Normal 5 2 3 3 4 2 3" xfId="11998" xr:uid="{B57729EE-67FA-432F-8A67-490FEA086D0B}"/>
    <cellStyle name="Normal 5 2 3 3 4 3" xfId="5629" xr:uid="{00000000-0005-0000-0000-0000A0180000}"/>
    <cellStyle name="Normal 5 2 3 3 4 3 2" xfId="14071" xr:uid="{9851CFE7-C9E4-4DE2-BB55-DCD7F5542BE3}"/>
    <cellStyle name="Normal 5 2 3 3 4 4" xfId="9853" xr:uid="{0D66D578-E539-42A9-91A5-F8AF70AB7B58}"/>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66940F80-F1E1-4D5F-BCCF-7F1B4F188BEE}"/>
    <cellStyle name="Normal 5 2 3 3 5 2 3" xfId="12411" xr:uid="{A0EDEB21-5478-47AA-B84F-1A17CE60AA32}"/>
    <cellStyle name="Normal 5 2 3 3 5 3" xfId="6042" xr:uid="{00000000-0005-0000-0000-0000A4180000}"/>
    <cellStyle name="Normal 5 2 3 3 5 3 2" xfId="14484" xr:uid="{A1B65312-4D1B-4B22-B4C2-38B165DCF3DA}"/>
    <cellStyle name="Normal 5 2 3 3 5 4" xfId="10266" xr:uid="{9965E582-AB36-43D8-B9AC-A741D5D86AE2}"/>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598D7B41-E2FA-46C9-8985-E61F773E2F30}"/>
    <cellStyle name="Normal 5 2 3 3 6 2 3" xfId="12824" xr:uid="{A2FC7FF6-6D9F-4F13-80B5-0FC9A714C055}"/>
    <cellStyle name="Normal 5 2 3 3 6 3" xfId="6455" xr:uid="{00000000-0005-0000-0000-0000A8180000}"/>
    <cellStyle name="Normal 5 2 3 3 6 3 2" xfId="14897" xr:uid="{0410DB99-031B-4B4B-ABE4-DBDFA509CDB5}"/>
    <cellStyle name="Normal 5 2 3 3 6 4" xfId="10679" xr:uid="{8FBF7733-42B2-487F-8262-5B7FE1D24D4D}"/>
    <cellStyle name="Normal 5 2 3 3 7" xfId="2584" xr:uid="{00000000-0005-0000-0000-0000A9180000}"/>
    <cellStyle name="Normal 5 2 3 3 7 2" xfId="6868" xr:uid="{00000000-0005-0000-0000-0000AA180000}"/>
    <cellStyle name="Normal 5 2 3 3 7 2 2" xfId="15310" xr:uid="{AF297819-2C3A-483F-871D-109B0F18829F}"/>
    <cellStyle name="Normal 5 2 3 3 7 3" xfId="11092" xr:uid="{92EFCC3D-654B-4DD1-918B-4364EB91FDD7}"/>
    <cellStyle name="Normal 5 2 3 3 8" xfId="4803" xr:uid="{00000000-0005-0000-0000-0000AB180000}"/>
    <cellStyle name="Normal 5 2 3 3 8 2" xfId="13245" xr:uid="{ED1ED962-0CA2-4BE3-9A85-F39855483952}"/>
    <cellStyle name="Normal 5 2 3 3 9" xfId="9027" xr:uid="{F5912899-0834-4FEA-8745-B57F598E4F93}"/>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258E3FDB-B703-4381-BACC-95D8F39AAF14}"/>
    <cellStyle name="Normal 5 2 3 4 2 2 3" xfId="11587" xr:uid="{4DE11477-0915-43A5-9F86-5FA7242CFC21}"/>
    <cellStyle name="Normal 5 2 3 4 2 3" xfId="5218" xr:uid="{00000000-0005-0000-0000-0000B0180000}"/>
    <cellStyle name="Normal 5 2 3 4 2 3 2" xfId="13660" xr:uid="{E097CB67-9C5B-4F61-BF30-156FE8EBE63A}"/>
    <cellStyle name="Normal 5 2 3 4 2 4" xfId="9442" xr:uid="{75F0E8B6-6BA0-4AF3-8BF5-6EE47FA14B69}"/>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F1C74F23-EFCA-4B2E-A121-05930184A895}"/>
    <cellStyle name="Normal 5 2 3 4 3 2 3" xfId="12000" xr:uid="{D0DF75D7-399A-4D71-96BE-6508DB644EFE}"/>
    <cellStyle name="Normal 5 2 3 4 3 3" xfId="5631" xr:uid="{00000000-0005-0000-0000-0000B4180000}"/>
    <cellStyle name="Normal 5 2 3 4 3 3 2" xfId="14073" xr:uid="{53190283-CCAE-4A0F-A16C-52A3D590D915}"/>
    <cellStyle name="Normal 5 2 3 4 3 4" xfId="9855" xr:uid="{5A134B6F-91F1-414E-A98F-531DCFE90E0B}"/>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C59FCA83-4D08-4074-AB98-A4AF50161BDF}"/>
    <cellStyle name="Normal 5 2 3 4 4 2 3" xfId="12413" xr:uid="{FF7D1284-4D71-479C-BC3A-6E1353780F67}"/>
    <cellStyle name="Normal 5 2 3 4 4 3" xfId="6044" xr:uid="{00000000-0005-0000-0000-0000B8180000}"/>
    <cellStyle name="Normal 5 2 3 4 4 3 2" xfId="14486" xr:uid="{8A94256E-91A6-4EE1-A5F3-6F597AA7B3BC}"/>
    <cellStyle name="Normal 5 2 3 4 4 4" xfId="10268" xr:uid="{20320749-3D93-40C4-AA8E-15BEEDB27D92}"/>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EE14467F-A9F1-4E3D-BC57-9A8327A86EB1}"/>
    <cellStyle name="Normal 5 2 3 4 5 2 3" xfId="12826" xr:uid="{58B962C9-8F9E-43EC-8EEB-5B82B9046A0E}"/>
    <cellStyle name="Normal 5 2 3 4 5 3" xfId="6457" xr:uid="{00000000-0005-0000-0000-0000BC180000}"/>
    <cellStyle name="Normal 5 2 3 4 5 3 2" xfId="14899" xr:uid="{782DA411-0BA6-42E8-B815-A725F776A9B1}"/>
    <cellStyle name="Normal 5 2 3 4 5 4" xfId="10681" xr:uid="{864DEFDD-AAFA-4D27-9B13-AB1BFFE3FB9A}"/>
    <cellStyle name="Normal 5 2 3 4 6" xfId="2586" xr:uid="{00000000-0005-0000-0000-0000BD180000}"/>
    <cellStyle name="Normal 5 2 3 4 6 2" xfId="6870" xr:uid="{00000000-0005-0000-0000-0000BE180000}"/>
    <cellStyle name="Normal 5 2 3 4 6 2 2" xfId="15312" xr:uid="{12C2B24D-8B33-400D-A986-263927716F55}"/>
    <cellStyle name="Normal 5 2 3 4 6 3" xfId="11094" xr:uid="{FA727B6F-D1A9-4597-A9E3-F0495F79D04F}"/>
    <cellStyle name="Normal 5 2 3 4 7" xfId="4805" xr:uid="{00000000-0005-0000-0000-0000BF180000}"/>
    <cellStyle name="Normal 5 2 3 4 7 2" xfId="13247" xr:uid="{E3659C8E-2A18-47AE-915F-C48993122817}"/>
    <cellStyle name="Normal 5 2 3 4 8" xfId="9029" xr:uid="{DF1C3EB8-5CD6-4251-B51A-C936D768FF7D}"/>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229FA28B-6F14-42A8-9BE1-674A3D74F269}"/>
    <cellStyle name="Normal 5 2 3 5 2 3" xfId="11580" xr:uid="{FC371834-6426-4E6F-B71F-BAE4A5C54D95}"/>
    <cellStyle name="Normal 5 2 3 5 3" xfId="5211" xr:uid="{00000000-0005-0000-0000-0000C3180000}"/>
    <cellStyle name="Normal 5 2 3 5 3 2" xfId="13653" xr:uid="{383C0561-1A01-414E-B00C-BA466D66897D}"/>
    <cellStyle name="Normal 5 2 3 5 4" xfId="9435" xr:uid="{C64601C6-01BC-45F7-8CD1-58F954ABEA71}"/>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4E8C34EA-53C4-45E5-AFA8-8C3B147E3AC5}"/>
    <cellStyle name="Normal 5 2 3 6 2 3" xfId="11993" xr:uid="{CA3D0223-07D2-453D-A104-A0309299E4B7}"/>
    <cellStyle name="Normal 5 2 3 6 3" xfId="5624" xr:uid="{00000000-0005-0000-0000-0000C7180000}"/>
    <cellStyle name="Normal 5 2 3 6 3 2" xfId="14066" xr:uid="{FC50609B-7494-4D41-A42C-DC2DB607F2BF}"/>
    <cellStyle name="Normal 5 2 3 6 4" xfId="9848" xr:uid="{1EE983C0-FFF4-46E1-83A5-F8B62450C648}"/>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9D374130-ABD8-4FAB-BA4E-21DB53821B06}"/>
    <cellStyle name="Normal 5 2 3 7 2 3" xfId="12406" xr:uid="{A902F977-627D-4079-AE10-44CC5F277A1F}"/>
    <cellStyle name="Normal 5 2 3 7 3" xfId="6037" xr:uid="{00000000-0005-0000-0000-0000CB180000}"/>
    <cellStyle name="Normal 5 2 3 7 3 2" xfId="14479" xr:uid="{7EB301AB-A436-4C4C-A564-CBE3F14894B3}"/>
    <cellStyle name="Normal 5 2 3 7 4" xfId="10261" xr:uid="{BE2C9A31-7C69-4DF6-953A-EBBA3AA41D0F}"/>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2A0A890A-378C-47C4-AD84-6DBD81DE9972}"/>
    <cellStyle name="Normal 5 2 3 8 2 3" xfId="12819" xr:uid="{B08F671D-1652-456E-9CDD-F08D9C30ADD5}"/>
    <cellStyle name="Normal 5 2 3 8 3" xfId="6450" xr:uid="{00000000-0005-0000-0000-0000CF180000}"/>
    <cellStyle name="Normal 5 2 3 8 3 2" xfId="14892" xr:uid="{9A94225E-6FDF-44E3-91EF-8393FB57761C}"/>
    <cellStyle name="Normal 5 2 3 8 4" xfId="10674" xr:uid="{D8B97C39-5DDA-409D-8494-736F30313D49}"/>
    <cellStyle name="Normal 5 2 3 9" xfId="2579" xr:uid="{00000000-0005-0000-0000-0000D0180000}"/>
    <cellStyle name="Normal 5 2 3 9 2" xfId="6863" xr:uid="{00000000-0005-0000-0000-0000D1180000}"/>
    <cellStyle name="Normal 5 2 3 9 2 2" xfId="15305" xr:uid="{47306AF0-3033-48B6-AC29-2E4D2A4BBB62}"/>
    <cellStyle name="Normal 5 2 3 9 3" xfId="11087" xr:uid="{60EE9BE9-D89E-4AA1-9EB6-1B7C81113384}"/>
    <cellStyle name="Normal 5 2 4" xfId="432" xr:uid="{00000000-0005-0000-0000-0000D2180000}"/>
    <cellStyle name="Normal 5 2 4 10" xfId="9030" xr:uid="{E9BC3EB3-AAFF-4583-84E4-1482E0BA0406}"/>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926CD134-937D-4FB0-8C43-8606F6075C3B}"/>
    <cellStyle name="Normal 5 2 4 2 2 2 2 3" xfId="11590" xr:uid="{F1709797-E6CF-4D10-93F5-56B4982498A2}"/>
    <cellStyle name="Normal 5 2 4 2 2 2 3" xfId="5221" xr:uid="{00000000-0005-0000-0000-0000D8180000}"/>
    <cellStyle name="Normal 5 2 4 2 2 2 3 2" xfId="13663" xr:uid="{CC3E0D11-5D6C-42A6-9EA5-09DBF0428B67}"/>
    <cellStyle name="Normal 5 2 4 2 2 2 4" xfId="9445" xr:uid="{D1A4D45D-7126-45B0-86E7-D6C7387E18C5}"/>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F1107C20-E526-45B1-85CB-C19D1EDF4EC0}"/>
    <cellStyle name="Normal 5 2 4 2 2 3 2 3" xfId="12003" xr:uid="{71D33CBC-A9CA-4C27-A364-4B7D8F5B4C83}"/>
    <cellStyle name="Normal 5 2 4 2 2 3 3" xfId="5634" xr:uid="{00000000-0005-0000-0000-0000DC180000}"/>
    <cellStyle name="Normal 5 2 4 2 2 3 3 2" xfId="14076" xr:uid="{817A6472-3A43-48B2-8981-04059CE59255}"/>
    <cellStyle name="Normal 5 2 4 2 2 3 4" xfId="9858" xr:uid="{F3D3DEE6-851B-40B7-B75F-03A360E36B9D}"/>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BFAAE809-DBBB-4BA0-B037-BB5E293C877F}"/>
    <cellStyle name="Normal 5 2 4 2 2 4 2 3" xfId="12416" xr:uid="{E57ADAEF-1BF0-492D-8AD3-224239D57E1B}"/>
    <cellStyle name="Normal 5 2 4 2 2 4 3" xfId="6047" xr:uid="{00000000-0005-0000-0000-0000E0180000}"/>
    <cellStyle name="Normal 5 2 4 2 2 4 3 2" xfId="14489" xr:uid="{F37ECB4C-25B4-4D35-BA53-64041C25F035}"/>
    <cellStyle name="Normal 5 2 4 2 2 4 4" xfId="10271" xr:uid="{BFCCB7D6-D37B-433C-9E7F-77F5E21F115C}"/>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95DA9FE0-8D75-4728-9394-F8D4A4309592}"/>
    <cellStyle name="Normal 5 2 4 2 2 5 2 3" xfId="12829" xr:uid="{235157C3-75AA-4D9E-9A1A-3E5B4E24DA37}"/>
    <cellStyle name="Normal 5 2 4 2 2 5 3" xfId="6460" xr:uid="{00000000-0005-0000-0000-0000E4180000}"/>
    <cellStyle name="Normal 5 2 4 2 2 5 3 2" xfId="14902" xr:uid="{D3DC0A79-8C97-4775-B0D1-DD754E444AB5}"/>
    <cellStyle name="Normal 5 2 4 2 2 5 4" xfId="10684" xr:uid="{EF1DC73D-7358-4FDC-926F-211651B04D0E}"/>
    <cellStyle name="Normal 5 2 4 2 2 6" xfId="2589" xr:uid="{00000000-0005-0000-0000-0000E5180000}"/>
    <cellStyle name="Normal 5 2 4 2 2 6 2" xfId="6873" xr:uid="{00000000-0005-0000-0000-0000E6180000}"/>
    <cellStyle name="Normal 5 2 4 2 2 6 2 2" xfId="15315" xr:uid="{116B1EFD-7841-4AD8-AD6D-5E86B18A7AB8}"/>
    <cellStyle name="Normal 5 2 4 2 2 6 3" xfId="11097" xr:uid="{63705C73-B9A8-4F20-85F3-8597BC9C33FD}"/>
    <cellStyle name="Normal 5 2 4 2 2 7" xfId="4808" xr:uid="{00000000-0005-0000-0000-0000E7180000}"/>
    <cellStyle name="Normal 5 2 4 2 2 7 2" xfId="13250" xr:uid="{34C6A6E5-F954-4E85-8805-BAB02D5B18C9}"/>
    <cellStyle name="Normal 5 2 4 2 2 8" xfId="9032" xr:uid="{05AA58DA-EFDD-4383-AFAD-0B9DF0A22D00}"/>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86656026-CF4A-4884-B4E6-1A9F6F789D76}"/>
    <cellStyle name="Normal 5 2 4 2 3 2 3" xfId="11589" xr:uid="{FB158D3E-E855-4B34-8460-F4CC9076002E}"/>
    <cellStyle name="Normal 5 2 4 2 3 3" xfId="5220" xr:uid="{00000000-0005-0000-0000-0000EB180000}"/>
    <cellStyle name="Normal 5 2 4 2 3 3 2" xfId="13662" xr:uid="{069E32AC-5FAC-455E-AA3D-486542E6D2A1}"/>
    <cellStyle name="Normal 5 2 4 2 3 4" xfId="9444" xr:uid="{5B0D453D-8452-4981-AC94-9C8D148BD5D4}"/>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6D0234EC-4F30-4841-A6B3-C04E05D50A70}"/>
    <cellStyle name="Normal 5 2 4 2 4 2 3" xfId="12002" xr:uid="{64EEEA11-6D3A-465E-9374-6AB1C596F294}"/>
    <cellStyle name="Normal 5 2 4 2 4 3" xfId="5633" xr:uid="{00000000-0005-0000-0000-0000EF180000}"/>
    <cellStyle name="Normal 5 2 4 2 4 3 2" xfId="14075" xr:uid="{A89A8A03-322E-42D1-A82C-340F0680ED70}"/>
    <cellStyle name="Normal 5 2 4 2 4 4" xfId="9857" xr:uid="{A10A7874-D70F-45FD-BCC9-8DBB8014E565}"/>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7C9C07FB-527E-418F-87ED-2453569F373D}"/>
    <cellStyle name="Normal 5 2 4 2 5 2 3" xfId="12415" xr:uid="{EFA92E24-A3D4-46A5-80FF-C9D97B528E2A}"/>
    <cellStyle name="Normal 5 2 4 2 5 3" xfId="6046" xr:uid="{00000000-0005-0000-0000-0000F3180000}"/>
    <cellStyle name="Normal 5 2 4 2 5 3 2" xfId="14488" xr:uid="{48C7CF68-9A8B-41C2-8FC9-A26EC2AE19FB}"/>
    <cellStyle name="Normal 5 2 4 2 5 4" xfId="10270" xr:uid="{61C869AF-467A-4E7E-96CC-564371901D71}"/>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86B1ECCD-3EDD-45D9-98DC-3B3793B449E5}"/>
    <cellStyle name="Normal 5 2 4 2 6 2 3" xfId="12828" xr:uid="{6E760802-53EA-4D81-8CFD-F1B7007B753D}"/>
    <cellStyle name="Normal 5 2 4 2 6 3" xfId="6459" xr:uid="{00000000-0005-0000-0000-0000F7180000}"/>
    <cellStyle name="Normal 5 2 4 2 6 3 2" xfId="14901" xr:uid="{CC87EA19-C68F-4DD3-A964-26B856440596}"/>
    <cellStyle name="Normal 5 2 4 2 6 4" xfId="10683" xr:uid="{74E6D805-1CE0-4E8F-8C94-18B0A55A5CE8}"/>
    <cellStyle name="Normal 5 2 4 2 7" xfId="2588" xr:uid="{00000000-0005-0000-0000-0000F8180000}"/>
    <cellStyle name="Normal 5 2 4 2 7 2" xfId="6872" xr:uid="{00000000-0005-0000-0000-0000F9180000}"/>
    <cellStyle name="Normal 5 2 4 2 7 2 2" xfId="15314" xr:uid="{8BDB65CE-9126-4000-B7F4-C1522A394AA5}"/>
    <cellStyle name="Normal 5 2 4 2 7 3" xfId="11096" xr:uid="{1E6F524C-E1FB-422E-9E6D-7FED4C31B82F}"/>
    <cellStyle name="Normal 5 2 4 2 8" xfId="4807" xr:uid="{00000000-0005-0000-0000-0000FA180000}"/>
    <cellStyle name="Normal 5 2 4 2 8 2" xfId="13249" xr:uid="{D2E4C687-EF47-4CCB-BFEE-86920F224F64}"/>
    <cellStyle name="Normal 5 2 4 2 9" xfId="9031" xr:uid="{8B3E85B1-8B36-465A-AD21-9AB6D4D033E7}"/>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4D7A1F44-4E35-4F41-8D01-3A1C193ACC0E}"/>
    <cellStyle name="Normal 5 2 4 3 2 2 3" xfId="11591" xr:uid="{D33719D3-CC5D-4DFB-9AD3-A3C2D1139084}"/>
    <cellStyle name="Normal 5 2 4 3 2 3" xfId="5222" xr:uid="{00000000-0005-0000-0000-0000FF180000}"/>
    <cellStyle name="Normal 5 2 4 3 2 3 2" xfId="13664" xr:uid="{1DDD4412-F200-4BB7-8FAF-F38D532D624A}"/>
    <cellStyle name="Normal 5 2 4 3 2 4" xfId="9446" xr:uid="{14B1A453-C072-4F35-9442-DB715517FB31}"/>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66719B28-EE8E-46E0-85F3-A809BB4CC365}"/>
    <cellStyle name="Normal 5 2 4 3 3 2 3" xfId="12004" xr:uid="{0B7F704A-6180-4EDF-A835-B4CEFBA41D32}"/>
    <cellStyle name="Normal 5 2 4 3 3 3" xfId="5635" xr:uid="{00000000-0005-0000-0000-000003190000}"/>
    <cellStyle name="Normal 5 2 4 3 3 3 2" xfId="14077" xr:uid="{6857C326-0086-4431-A526-C699B7B6AE1A}"/>
    <cellStyle name="Normal 5 2 4 3 3 4" xfId="9859" xr:uid="{2B093C3C-6023-4103-85C6-3094CC1E62DD}"/>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CD2F01F9-71E4-418D-8100-2D1B2BD55556}"/>
    <cellStyle name="Normal 5 2 4 3 4 2 3" xfId="12417" xr:uid="{0385A038-FC23-42E5-BCF0-D9851E2CAADC}"/>
    <cellStyle name="Normal 5 2 4 3 4 3" xfId="6048" xr:uid="{00000000-0005-0000-0000-000007190000}"/>
    <cellStyle name="Normal 5 2 4 3 4 3 2" xfId="14490" xr:uid="{A35FEE6A-A54E-4A61-9336-E8E54C10B0CA}"/>
    <cellStyle name="Normal 5 2 4 3 4 4" xfId="10272" xr:uid="{16085B43-8992-4957-9BD6-1C8FB6BFF8AD}"/>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A33034C5-F549-4E18-AEC3-948C840991F5}"/>
    <cellStyle name="Normal 5 2 4 3 5 2 3" xfId="12830" xr:uid="{3C7E9BAF-3741-474D-9938-B5E75BBEF6E3}"/>
    <cellStyle name="Normal 5 2 4 3 5 3" xfId="6461" xr:uid="{00000000-0005-0000-0000-00000B190000}"/>
    <cellStyle name="Normal 5 2 4 3 5 3 2" xfId="14903" xr:uid="{89B71D77-CBF7-4F5C-809E-F669CF002500}"/>
    <cellStyle name="Normal 5 2 4 3 5 4" xfId="10685" xr:uid="{AF31B7D4-32F4-40A4-9EC1-C5A779D93F22}"/>
    <cellStyle name="Normal 5 2 4 3 6" xfId="2590" xr:uid="{00000000-0005-0000-0000-00000C190000}"/>
    <cellStyle name="Normal 5 2 4 3 6 2" xfId="6874" xr:uid="{00000000-0005-0000-0000-00000D190000}"/>
    <cellStyle name="Normal 5 2 4 3 6 2 2" xfId="15316" xr:uid="{E570E0BC-CD26-4125-9F26-80009A41A55A}"/>
    <cellStyle name="Normal 5 2 4 3 6 3" xfId="11098" xr:uid="{173C0821-41B1-41C2-9D50-3A1945F072B5}"/>
    <cellStyle name="Normal 5 2 4 3 7" xfId="4809" xr:uid="{00000000-0005-0000-0000-00000E190000}"/>
    <cellStyle name="Normal 5 2 4 3 7 2" xfId="13251" xr:uid="{F3DD13E1-1B42-466F-A712-401BB7CC3F3B}"/>
    <cellStyle name="Normal 5 2 4 3 8" xfId="9033" xr:uid="{A19D7D05-4165-4454-A406-ADD4BE052899}"/>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EB108813-F20F-426E-9A96-4472FB8BC96A}"/>
    <cellStyle name="Normal 5 2 4 4 2 3" xfId="11588" xr:uid="{C6979477-97F3-4A5A-ABE6-DE2EFB5E8F3A}"/>
    <cellStyle name="Normal 5 2 4 4 3" xfId="5219" xr:uid="{00000000-0005-0000-0000-000012190000}"/>
    <cellStyle name="Normal 5 2 4 4 3 2" xfId="13661" xr:uid="{810B1AB4-D485-4EF9-8B98-743BBDE6242C}"/>
    <cellStyle name="Normal 5 2 4 4 4" xfId="9443" xr:uid="{34047C2A-7716-48E5-835F-2F9568B87922}"/>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36F0C052-0753-4C72-90F6-DAF71F6EC60C}"/>
    <cellStyle name="Normal 5 2 4 5 2 3" xfId="12001" xr:uid="{4856CF2D-B499-4C86-9C11-7BA41AFD7251}"/>
    <cellStyle name="Normal 5 2 4 5 3" xfId="5632" xr:uid="{00000000-0005-0000-0000-000016190000}"/>
    <cellStyle name="Normal 5 2 4 5 3 2" xfId="14074" xr:uid="{E8B34282-559C-4556-B0A3-A5EF97E981B1}"/>
    <cellStyle name="Normal 5 2 4 5 4" xfId="9856" xr:uid="{EEE43A1C-7167-4683-B490-BFF6F061D65A}"/>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1FB24E0C-C4FC-47F7-B5EB-6357776DB4DC}"/>
    <cellStyle name="Normal 5 2 4 6 2 3" xfId="12414" xr:uid="{5D301CE0-2E86-44A8-9AEC-CA53438FAA67}"/>
    <cellStyle name="Normal 5 2 4 6 3" xfId="6045" xr:uid="{00000000-0005-0000-0000-00001A190000}"/>
    <cellStyle name="Normal 5 2 4 6 3 2" xfId="14487" xr:uid="{642E0D09-F2EB-488D-A926-B46B795D89D1}"/>
    <cellStyle name="Normal 5 2 4 6 4" xfId="10269" xr:uid="{A2DDF6E9-D50C-4145-BB3C-C43DAA569C19}"/>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C689A8D3-16AE-47C7-8695-51FF22710C25}"/>
    <cellStyle name="Normal 5 2 4 7 2 3" xfId="12827" xr:uid="{73A8A6F9-B08A-4D75-9134-214ADE4390CE}"/>
    <cellStyle name="Normal 5 2 4 7 3" xfId="6458" xr:uid="{00000000-0005-0000-0000-00001E190000}"/>
    <cellStyle name="Normal 5 2 4 7 3 2" xfId="14900" xr:uid="{BDC29AEC-0E35-4BB7-A497-EEF8A5E799B1}"/>
    <cellStyle name="Normal 5 2 4 7 4" xfId="10682" xr:uid="{AA779957-E0E1-427F-B9A4-A95EDF83635C}"/>
    <cellStyle name="Normal 5 2 4 8" xfId="2587" xr:uid="{00000000-0005-0000-0000-00001F190000}"/>
    <cellStyle name="Normal 5 2 4 8 2" xfId="6871" xr:uid="{00000000-0005-0000-0000-000020190000}"/>
    <cellStyle name="Normal 5 2 4 8 2 2" xfId="15313" xr:uid="{E93CD79A-55E9-4672-81EF-A5CB125C058A}"/>
    <cellStyle name="Normal 5 2 4 8 3" xfId="11095" xr:uid="{0608391E-606E-421C-B8FC-C0B68C112E50}"/>
    <cellStyle name="Normal 5 2 4 9" xfId="4806" xr:uid="{00000000-0005-0000-0000-000021190000}"/>
    <cellStyle name="Normal 5 2 4 9 2" xfId="13248" xr:uid="{8CE36EBD-77DF-47FD-A3DC-1485CC9232C4}"/>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1DF36A2F-16B2-4ED6-A0FB-4ADEE9700CFC}"/>
    <cellStyle name="Normal 5 2 5 2 2 2 3" xfId="11593" xr:uid="{CE3ADBB2-A954-4FA6-82F1-4096F3FFA42B}"/>
    <cellStyle name="Normal 5 2 5 2 2 3" xfId="5224" xr:uid="{00000000-0005-0000-0000-000027190000}"/>
    <cellStyle name="Normal 5 2 5 2 2 3 2" xfId="13666" xr:uid="{75F8EEB6-1A78-48E6-8FC8-A342D0320B81}"/>
    <cellStyle name="Normal 5 2 5 2 2 4" xfId="9448" xr:uid="{AE113919-EC2B-4257-866A-FD3E5B18906E}"/>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66862D8F-7E76-4D09-AD60-109505487C94}"/>
    <cellStyle name="Normal 5 2 5 2 3 2 3" xfId="12006" xr:uid="{87D04DD7-4FB6-4429-B0EB-8ABD4279EC24}"/>
    <cellStyle name="Normal 5 2 5 2 3 3" xfId="5637" xr:uid="{00000000-0005-0000-0000-00002B190000}"/>
    <cellStyle name="Normal 5 2 5 2 3 3 2" xfId="14079" xr:uid="{B2AC1771-333A-4497-9590-09526C5ADB64}"/>
    <cellStyle name="Normal 5 2 5 2 3 4" xfId="9861" xr:uid="{4407325E-CAC2-4E19-A385-A8FE87529C60}"/>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B2B07C87-4565-4524-A785-0A5DE7A78CAB}"/>
    <cellStyle name="Normal 5 2 5 2 4 2 3" xfId="12419" xr:uid="{492F852F-E61F-4DAF-90F7-D6FCD77B9133}"/>
    <cellStyle name="Normal 5 2 5 2 4 3" xfId="6050" xr:uid="{00000000-0005-0000-0000-00002F190000}"/>
    <cellStyle name="Normal 5 2 5 2 4 3 2" xfId="14492" xr:uid="{6B097879-FEF8-413A-9851-AF0B3345FDB5}"/>
    <cellStyle name="Normal 5 2 5 2 4 4" xfId="10274" xr:uid="{1511F802-CBAD-4892-B11E-D91A1E8F585B}"/>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900F247D-10BB-41CE-848F-6D9F1EEF1C29}"/>
    <cellStyle name="Normal 5 2 5 2 5 2 3" xfId="12832" xr:uid="{A39F1E24-FC62-4EC9-96BD-EE68BE1609E1}"/>
    <cellStyle name="Normal 5 2 5 2 5 3" xfId="6463" xr:uid="{00000000-0005-0000-0000-000033190000}"/>
    <cellStyle name="Normal 5 2 5 2 5 3 2" xfId="14905" xr:uid="{D532984D-38EA-448A-8211-0B5D9AB14948}"/>
    <cellStyle name="Normal 5 2 5 2 5 4" xfId="10687" xr:uid="{A2CB52B5-54B0-4988-BC6B-3CFA6658B479}"/>
    <cellStyle name="Normal 5 2 5 2 6" xfId="2592" xr:uid="{00000000-0005-0000-0000-000034190000}"/>
    <cellStyle name="Normal 5 2 5 2 6 2" xfId="6876" xr:uid="{00000000-0005-0000-0000-000035190000}"/>
    <cellStyle name="Normal 5 2 5 2 6 2 2" xfId="15318" xr:uid="{7BD12DD7-EB2E-42AD-83C3-F9BDD171C6C9}"/>
    <cellStyle name="Normal 5 2 5 2 6 3" xfId="11100" xr:uid="{CAD1186E-A8BF-4CA4-B7EE-D7F02FDCAF75}"/>
    <cellStyle name="Normal 5 2 5 2 7" xfId="4811" xr:uid="{00000000-0005-0000-0000-000036190000}"/>
    <cellStyle name="Normal 5 2 5 2 7 2" xfId="13253" xr:uid="{F77E752D-8280-4716-86B9-F1A63A4399B1}"/>
    <cellStyle name="Normal 5 2 5 2 8" xfId="9035" xr:uid="{B868EE49-9FE2-4432-A382-6BDEB9661674}"/>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5AEE18F1-5D56-4752-BFD6-26204AC2D1E3}"/>
    <cellStyle name="Normal 5 2 5 3 2 3" xfId="11592" xr:uid="{5CF5A4E9-5902-4027-AFB7-CF7147F86AFE}"/>
    <cellStyle name="Normal 5 2 5 3 3" xfId="5223" xr:uid="{00000000-0005-0000-0000-00003A190000}"/>
    <cellStyle name="Normal 5 2 5 3 3 2" xfId="13665" xr:uid="{ED55186E-6D55-48DA-9DE8-60C010A12692}"/>
    <cellStyle name="Normal 5 2 5 3 4" xfId="9447" xr:uid="{E813022A-5D1A-4B1F-BEAB-16B8BE85C53F}"/>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57C6833F-3855-4002-A083-545F59E6284E}"/>
    <cellStyle name="Normal 5 2 5 4 2 3" xfId="12005" xr:uid="{27F2E41F-D258-4E38-BBAD-960F36EBBD25}"/>
    <cellStyle name="Normal 5 2 5 4 3" xfId="5636" xr:uid="{00000000-0005-0000-0000-00003E190000}"/>
    <cellStyle name="Normal 5 2 5 4 3 2" xfId="14078" xr:uid="{BD424251-38D0-4F51-9F2E-1BEE2C26623A}"/>
    <cellStyle name="Normal 5 2 5 4 4" xfId="9860" xr:uid="{A764EF67-1950-45D8-9AEC-54D5E63FA683}"/>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A0FCF582-460B-4C25-A562-73C59350243B}"/>
    <cellStyle name="Normal 5 2 5 5 2 3" xfId="12418" xr:uid="{12F7FF14-F3C1-4C87-B987-1397293A24F4}"/>
    <cellStyle name="Normal 5 2 5 5 3" xfId="6049" xr:uid="{00000000-0005-0000-0000-000042190000}"/>
    <cellStyle name="Normal 5 2 5 5 3 2" xfId="14491" xr:uid="{FAC5D866-C77E-4A72-99A2-CCB7A5082B4F}"/>
    <cellStyle name="Normal 5 2 5 5 4" xfId="10273" xr:uid="{834E7774-3E38-488C-B85E-10EA865E5F95}"/>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B2322D4C-0208-4B47-B3D3-02A6643268EA}"/>
    <cellStyle name="Normal 5 2 5 6 2 3" xfId="12831" xr:uid="{183C1C0B-6DAD-4EB7-BF8F-4A561CEF3F04}"/>
    <cellStyle name="Normal 5 2 5 6 3" xfId="6462" xr:uid="{00000000-0005-0000-0000-000046190000}"/>
    <cellStyle name="Normal 5 2 5 6 3 2" xfId="14904" xr:uid="{41F90156-1ADF-42F6-A5F0-F79D2B5EFCBD}"/>
    <cellStyle name="Normal 5 2 5 6 4" xfId="10686" xr:uid="{F06F9904-EF73-471E-BBDB-3ACBFB2E8242}"/>
    <cellStyle name="Normal 5 2 5 7" xfId="2591" xr:uid="{00000000-0005-0000-0000-000047190000}"/>
    <cellStyle name="Normal 5 2 5 7 2" xfId="6875" xr:uid="{00000000-0005-0000-0000-000048190000}"/>
    <cellStyle name="Normal 5 2 5 7 2 2" xfId="15317" xr:uid="{9E5A221B-75B7-42E1-9AF8-02C7F154AD01}"/>
    <cellStyle name="Normal 5 2 5 7 3" xfId="11099" xr:uid="{6A34116C-462D-40CF-AB2D-333E6C6F6B18}"/>
    <cellStyle name="Normal 5 2 5 8" xfId="4810" xr:uid="{00000000-0005-0000-0000-000049190000}"/>
    <cellStyle name="Normal 5 2 5 8 2" xfId="13252" xr:uid="{2D7517E6-047B-4C80-9A48-082E31638A28}"/>
    <cellStyle name="Normal 5 2 5 9" xfId="9034" xr:uid="{8BC8A1A2-C1C2-44DC-BA75-2EBC70D3B1DF}"/>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45509023-BA40-4AAE-9FC2-5E90FA454696}"/>
    <cellStyle name="Normal 5 2 6 2 2 3" xfId="11594" xr:uid="{66EEAAC0-D8D0-4EFB-9695-EB6A7CF2819A}"/>
    <cellStyle name="Normal 5 2 6 2 3" xfId="5225" xr:uid="{00000000-0005-0000-0000-00004E190000}"/>
    <cellStyle name="Normal 5 2 6 2 3 2" xfId="13667" xr:uid="{929027D5-F4E6-4E32-A1A1-941CC2C8C69A}"/>
    <cellStyle name="Normal 5 2 6 2 4" xfId="9449" xr:uid="{B1CB087F-A25F-4E1C-B1FA-85A56C7A867C}"/>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42193476-FC50-46EC-9571-76C6473A4C7D}"/>
    <cellStyle name="Normal 5 2 6 3 2 3" xfId="12007" xr:uid="{15094684-083D-40F6-86E5-3520D869C3C3}"/>
    <cellStyle name="Normal 5 2 6 3 3" xfId="5638" xr:uid="{00000000-0005-0000-0000-000052190000}"/>
    <cellStyle name="Normal 5 2 6 3 3 2" xfId="14080" xr:uid="{876F15CE-7057-4547-BED4-E637CD192B05}"/>
    <cellStyle name="Normal 5 2 6 3 4" xfId="9862" xr:uid="{AFA8798E-3DB0-4DC5-9345-3F9E0C24F8C1}"/>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D6A43A87-1519-41E6-8A46-38B14DA079BB}"/>
    <cellStyle name="Normal 5 2 6 4 2 3" xfId="12420" xr:uid="{A163205C-86AB-4762-BFDE-BE1F1AB41189}"/>
    <cellStyle name="Normal 5 2 6 4 3" xfId="6051" xr:uid="{00000000-0005-0000-0000-000056190000}"/>
    <cellStyle name="Normal 5 2 6 4 3 2" xfId="14493" xr:uid="{98721277-EFFE-42C5-AEE5-CA92247BEEB6}"/>
    <cellStyle name="Normal 5 2 6 4 4" xfId="10275" xr:uid="{F1485A82-C099-4476-8E5D-642A1A7E4788}"/>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F867396D-E0C3-4566-BB7F-B7DA63E03905}"/>
    <cellStyle name="Normal 5 2 6 5 2 3" xfId="12833" xr:uid="{29A7608C-BA71-48EC-88A5-395003DD6FB7}"/>
    <cellStyle name="Normal 5 2 6 5 3" xfId="6464" xr:uid="{00000000-0005-0000-0000-00005A190000}"/>
    <cellStyle name="Normal 5 2 6 5 3 2" xfId="14906" xr:uid="{9792F297-E7FC-4AB5-B599-F1A46BDED752}"/>
    <cellStyle name="Normal 5 2 6 5 4" xfId="10688" xr:uid="{78687068-989E-435C-BBD5-79E613033FED}"/>
    <cellStyle name="Normal 5 2 6 6" xfId="2593" xr:uid="{00000000-0005-0000-0000-00005B190000}"/>
    <cellStyle name="Normal 5 2 6 6 2" xfId="6877" xr:uid="{00000000-0005-0000-0000-00005C190000}"/>
    <cellStyle name="Normal 5 2 6 6 2 2" xfId="15319" xr:uid="{36180491-862A-4ECA-8997-83EC80D9FD5F}"/>
    <cellStyle name="Normal 5 2 6 6 3" xfId="11101" xr:uid="{814D9D96-A476-489F-886E-52C067A4A549}"/>
    <cellStyle name="Normal 5 2 6 7" xfId="4812" xr:uid="{00000000-0005-0000-0000-00005D190000}"/>
    <cellStyle name="Normal 5 2 6 7 2" xfId="13254" xr:uid="{95189AAC-49EF-4661-A960-3EAAE3C1F745}"/>
    <cellStyle name="Normal 5 2 6 8" xfId="9036" xr:uid="{59804CCF-FCB3-4F0D-B4A1-84C6B21BCF3D}"/>
    <cellStyle name="Normal 5 2 7" xfId="881" xr:uid="{00000000-0005-0000-0000-00005E190000}"/>
    <cellStyle name="Normal 5 2 7 2" xfId="3116" xr:uid="{00000000-0005-0000-0000-00005F190000}"/>
    <cellStyle name="Normal 5 2 7 2 2" xfId="7339" xr:uid="{00000000-0005-0000-0000-000060190000}"/>
    <cellStyle name="Normal 5 2 7 2 2 2" xfId="15781" xr:uid="{7F4355D9-3F9D-423C-98FD-EE552DEA730B}"/>
    <cellStyle name="Normal 5 2 7 2 3" xfId="11563" xr:uid="{1A89C3C4-0F5C-4537-BEEF-8B3C11F3B1B9}"/>
    <cellStyle name="Normal 5 2 7 3" xfId="5194" xr:uid="{00000000-0005-0000-0000-000061190000}"/>
    <cellStyle name="Normal 5 2 7 3 2" xfId="13636" xr:uid="{42354F38-F162-448D-9EAB-4AA0EB0F1AD9}"/>
    <cellStyle name="Normal 5 2 7 4" xfId="9418" xr:uid="{594DD4F4-6DFC-4319-989F-CBED928A8043}"/>
    <cellStyle name="Normal 5 2 8" xfId="1299" xr:uid="{00000000-0005-0000-0000-000062190000}"/>
    <cellStyle name="Normal 5 2 8 2" xfId="3529" xr:uid="{00000000-0005-0000-0000-000063190000}"/>
    <cellStyle name="Normal 5 2 8 2 2" xfId="7752" xr:uid="{00000000-0005-0000-0000-000064190000}"/>
    <cellStyle name="Normal 5 2 8 2 2 2" xfId="16194" xr:uid="{97C83B38-C9BB-41C7-BD13-D22D82198571}"/>
    <cellStyle name="Normal 5 2 8 2 3" xfId="11976" xr:uid="{B5D2E0D0-F8ED-449D-95F2-135C741A2D0A}"/>
    <cellStyle name="Normal 5 2 8 3" xfId="5607" xr:uid="{00000000-0005-0000-0000-000065190000}"/>
    <cellStyle name="Normal 5 2 8 3 2" xfId="14049" xr:uid="{0BF657B2-0223-47A3-94B9-16DCFB5E479A}"/>
    <cellStyle name="Normal 5 2 8 4" xfId="9831" xr:uid="{51C20D55-B5CA-47ED-A745-38DDFB462CBA}"/>
    <cellStyle name="Normal 5 2 9" xfId="1712" xr:uid="{00000000-0005-0000-0000-000066190000}"/>
    <cellStyle name="Normal 5 2 9 2" xfId="3942" xr:uid="{00000000-0005-0000-0000-000067190000}"/>
    <cellStyle name="Normal 5 2 9 2 2" xfId="8165" xr:uid="{00000000-0005-0000-0000-000068190000}"/>
    <cellStyle name="Normal 5 2 9 2 2 2" xfId="16607" xr:uid="{EC151742-771B-49D1-BA29-04E62D64C927}"/>
    <cellStyle name="Normal 5 2 9 2 3" xfId="12389" xr:uid="{D38A1C18-4C85-4935-B9CC-A298D472E27F}"/>
    <cellStyle name="Normal 5 2 9 3" xfId="6020" xr:uid="{00000000-0005-0000-0000-000069190000}"/>
    <cellStyle name="Normal 5 2 9 3 2" xfId="14462" xr:uid="{70AFDE77-1779-4FF8-B945-DF5877CE44D9}"/>
    <cellStyle name="Normal 5 2 9 4" xfId="10244" xr:uid="{170D14C5-F09E-47F4-9FAF-49814D4D2A2F}"/>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8FB12E6D-D893-4593-9501-A1B28272F6BC}"/>
    <cellStyle name="Normal 5 3 10 2 3" xfId="12834" xr:uid="{81804651-D122-4A4B-95CA-EBCEDE4C8BDB}"/>
    <cellStyle name="Normal 5 3 10 3" xfId="6465" xr:uid="{00000000-0005-0000-0000-00006E190000}"/>
    <cellStyle name="Normal 5 3 10 3 2" xfId="14907" xr:uid="{C2B0521E-A075-45CD-9C9D-20839B03EA43}"/>
    <cellStyle name="Normal 5 3 10 4" xfId="10689" xr:uid="{30260D76-CAC1-4262-85B3-529C2A1AA63F}"/>
    <cellStyle name="Normal 5 3 11" xfId="2594" xr:uid="{00000000-0005-0000-0000-00006F190000}"/>
    <cellStyle name="Normal 5 3 11 2" xfId="6878" xr:uid="{00000000-0005-0000-0000-000070190000}"/>
    <cellStyle name="Normal 5 3 11 2 2" xfId="15320" xr:uid="{0B12CC64-5AC8-479F-9B63-E5A3F4FCF78B}"/>
    <cellStyle name="Normal 5 3 11 3" xfId="11102" xr:uid="{C24D78E1-9FBD-49C8-B3C5-BBD575D2A26E}"/>
    <cellStyle name="Normal 5 3 12" xfId="4813" xr:uid="{00000000-0005-0000-0000-000071190000}"/>
    <cellStyle name="Normal 5 3 12 2" xfId="13255" xr:uid="{CB44FDD8-DC52-45F5-96CD-507B90BA3FCD}"/>
    <cellStyle name="Normal 5 3 13" xfId="9037" xr:uid="{E64FC27B-F552-4744-951D-133E94954501}"/>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71B9C373-489C-4B6D-87BF-B65F6927435F}"/>
    <cellStyle name="Normal 5 3 3 11" xfId="9038" xr:uid="{3E6CFAC7-6910-4A0C-BB22-94CF10B53C8D}"/>
    <cellStyle name="Normal 5 3 3 2" xfId="442" xr:uid="{00000000-0005-0000-0000-000076190000}"/>
    <cellStyle name="Normal 5 3 3 2 10" xfId="9039" xr:uid="{77749B87-952D-4338-9C01-BEE5C5A9A309}"/>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A5CA5468-0A2D-44D3-A8EA-D87928C247B3}"/>
    <cellStyle name="Normal 5 3 3 2 2 2 2 2 3" xfId="11599" xr:uid="{12896FF8-6A1A-4F3F-B385-E97AF7531EFA}"/>
    <cellStyle name="Normal 5 3 3 2 2 2 2 3" xfId="5230" xr:uid="{00000000-0005-0000-0000-00007C190000}"/>
    <cellStyle name="Normal 5 3 3 2 2 2 2 3 2" xfId="13672" xr:uid="{9880EF08-A7F2-4D0B-B744-7A83AF9D28A1}"/>
    <cellStyle name="Normal 5 3 3 2 2 2 2 4" xfId="9454" xr:uid="{0583FE76-DF3B-4853-998C-AFACFD7EF511}"/>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19F64798-FC63-42D5-A9CA-D2F1F5138D91}"/>
    <cellStyle name="Normal 5 3 3 2 2 2 3 2 3" xfId="12012" xr:uid="{A522FB49-FB2D-47E5-A58E-97FCCA9CA624}"/>
    <cellStyle name="Normal 5 3 3 2 2 2 3 3" xfId="5643" xr:uid="{00000000-0005-0000-0000-000080190000}"/>
    <cellStyle name="Normal 5 3 3 2 2 2 3 3 2" xfId="14085" xr:uid="{B88D5D6B-B16B-4D75-8BFE-6439784ED5E6}"/>
    <cellStyle name="Normal 5 3 3 2 2 2 3 4" xfId="9867" xr:uid="{AD2609CE-2DE3-4F70-A78A-EE9061AD1CBF}"/>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EA5AA476-155F-4565-9B68-E61EB51A64AA}"/>
    <cellStyle name="Normal 5 3 3 2 2 2 4 2 3" xfId="12425" xr:uid="{E4A458A5-0D07-4267-B113-F48836D451C7}"/>
    <cellStyle name="Normal 5 3 3 2 2 2 4 3" xfId="6056" xr:uid="{00000000-0005-0000-0000-000084190000}"/>
    <cellStyle name="Normal 5 3 3 2 2 2 4 3 2" xfId="14498" xr:uid="{B4E6DE6F-A15E-4FBB-A628-BCC7A60CFF34}"/>
    <cellStyle name="Normal 5 3 3 2 2 2 4 4" xfId="10280" xr:uid="{201DE0E7-4245-46FE-A659-7569E6C03A56}"/>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D1EADD41-2E74-4CE9-8E85-B756C049DF09}"/>
    <cellStyle name="Normal 5 3 3 2 2 2 5 2 3" xfId="12838" xr:uid="{394AB519-5A08-4E30-8368-CF481110DBEC}"/>
    <cellStyle name="Normal 5 3 3 2 2 2 5 3" xfId="6469" xr:uid="{00000000-0005-0000-0000-000088190000}"/>
    <cellStyle name="Normal 5 3 3 2 2 2 5 3 2" xfId="14911" xr:uid="{57D891AF-50CB-4247-A897-5DA79E128592}"/>
    <cellStyle name="Normal 5 3 3 2 2 2 5 4" xfId="10693" xr:uid="{12E68F12-AE8D-434C-977F-E5FDF42E0841}"/>
    <cellStyle name="Normal 5 3 3 2 2 2 6" xfId="2598" xr:uid="{00000000-0005-0000-0000-000089190000}"/>
    <cellStyle name="Normal 5 3 3 2 2 2 6 2" xfId="6882" xr:uid="{00000000-0005-0000-0000-00008A190000}"/>
    <cellStyle name="Normal 5 3 3 2 2 2 6 2 2" xfId="15324" xr:uid="{35FA8D7E-7A87-4EDE-8A07-F7FDA9C1327D}"/>
    <cellStyle name="Normal 5 3 3 2 2 2 6 3" xfId="11106" xr:uid="{6D4DE21F-F7BF-487D-9A42-37C5FBD12E06}"/>
    <cellStyle name="Normal 5 3 3 2 2 2 7" xfId="4817" xr:uid="{00000000-0005-0000-0000-00008B190000}"/>
    <cellStyle name="Normal 5 3 3 2 2 2 7 2" xfId="13259" xr:uid="{ABC5D122-923F-4D62-83E3-BAF1321C5969}"/>
    <cellStyle name="Normal 5 3 3 2 2 2 8" xfId="9041" xr:uid="{D9798F08-3AFA-4CEC-9E9E-A4B64DB8EF9B}"/>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8CF93ABC-0F10-431C-A85A-BC0AB9E487AC}"/>
    <cellStyle name="Normal 5 3 3 2 2 3 2 3" xfId="11598" xr:uid="{7FF97978-7256-4FAB-91F6-DE9590A96D15}"/>
    <cellStyle name="Normal 5 3 3 2 2 3 3" xfId="5229" xr:uid="{00000000-0005-0000-0000-00008F190000}"/>
    <cellStyle name="Normal 5 3 3 2 2 3 3 2" xfId="13671" xr:uid="{FB996A58-2894-45C8-84DD-9A4E0F1D075F}"/>
    <cellStyle name="Normal 5 3 3 2 2 3 4" xfId="9453" xr:uid="{BDCF7999-F996-4E6B-8FBB-E624E792882B}"/>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7CC27C22-E7C8-458B-B697-7AB4B8D55089}"/>
    <cellStyle name="Normal 5 3 3 2 2 4 2 3" xfId="12011" xr:uid="{3EB998B4-27A5-4B31-8B39-20CA4B0395ED}"/>
    <cellStyle name="Normal 5 3 3 2 2 4 3" xfId="5642" xr:uid="{00000000-0005-0000-0000-000093190000}"/>
    <cellStyle name="Normal 5 3 3 2 2 4 3 2" xfId="14084" xr:uid="{C6B3AFBA-6673-4584-8A1A-B53B42F3FF7C}"/>
    <cellStyle name="Normal 5 3 3 2 2 4 4" xfId="9866" xr:uid="{67B11A45-38D7-4687-98DD-6361BABE0523}"/>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13297424-B89C-414F-81FD-BD4EEBA194EB}"/>
    <cellStyle name="Normal 5 3 3 2 2 5 2 3" xfId="12424" xr:uid="{D64D5BD2-7A30-4483-8B3D-AAABA64F34BF}"/>
    <cellStyle name="Normal 5 3 3 2 2 5 3" xfId="6055" xr:uid="{00000000-0005-0000-0000-000097190000}"/>
    <cellStyle name="Normal 5 3 3 2 2 5 3 2" xfId="14497" xr:uid="{5B65DB4C-7AC9-415D-A7A0-CD871F2EBFB6}"/>
    <cellStyle name="Normal 5 3 3 2 2 5 4" xfId="10279" xr:uid="{ED62973C-A3FA-4E91-8BE3-32E0470AF2ED}"/>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CD638162-6A02-428D-A6FC-3CA06F63E09E}"/>
    <cellStyle name="Normal 5 3 3 2 2 6 2 3" xfId="12837" xr:uid="{3437A26D-D718-4A9A-BC75-BBC394ECB285}"/>
    <cellStyle name="Normal 5 3 3 2 2 6 3" xfId="6468" xr:uid="{00000000-0005-0000-0000-00009B190000}"/>
    <cellStyle name="Normal 5 3 3 2 2 6 3 2" xfId="14910" xr:uid="{B5C2DC8C-8F05-44A1-A35F-B5BC5922339E}"/>
    <cellStyle name="Normal 5 3 3 2 2 6 4" xfId="10692" xr:uid="{119B4E35-19C9-4801-9AE5-F9101C0C4417}"/>
    <cellStyle name="Normal 5 3 3 2 2 7" xfId="2597" xr:uid="{00000000-0005-0000-0000-00009C190000}"/>
    <cellStyle name="Normal 5 3 3 2 2 7 2" xfId="6881" xr:uid="{00000000-0005-0000-0000-00009D190000}"/>
    <cellStyle name="Normal 5 3 3 2 2 7 2 2" xfId="15323" xr:uid="{AB810034-CFEC-42DB-9293-9515232C7530}"/>
    <cellStyle name="Normal 5 3 3 2 2 7 3" xfId="11105" xr:uid="{C2540A36-2673-44A0-9D9F-FA443031F5E7}"/>
    <cellStyle name="Normal 5 3 3 2 2 8" xfId="4816" xr:uid="{00000000-0005-0000-0000-00009E190000}"/>
    <cellStyle name="Normal 5 3 3 2 2 8 2" xfId="13258" xr:uid="{ED656262-2B1C-45A5-B3A5-2EB9269AA426}"/>
    <cellStyle name="Normal 5 3 3 2 2 9" xfId="9040" xr:uid="{4897F70E-E7BF-423C-940C-A2F786FA7DC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F3375C26-6992-4A66-9EFC-F0712BE14C4A}"/>
    <cellStyle name="Normal 5 3 3 2 3 2 2 3" xfId="11600" xr:uid="{0243A5C9-D787-4833-9F99-F9B8FEEC7DAE}"/>
    <cellStyle name="Normal 5 3 3 2 3 2 3" xfId="5231" xr:uid="{00000000-0005-0000-0000-0000A3190000}"/>
    <cellStyle name="Normal 5 3 3 2 3 2 3 2" xfId="13673" xr:uid="{1A470019-0BEB-4916-91C5-203CA15E8059}"/>
    <cellStyle name="Normal 5 3 3 2 3 2 4" xfId="9455" xr:uid="{4F27778F-88FF-4FC7-A00F-87168634BB1E}"/>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B2F18347-B8DA-486A-B869-D6F2A3297EC7}"/>
    <cellStyle name="Normal 5 3 3 2 3 3 2 3" xfId="12013" xr:uid="{9AE253D7-6766-40AF-AB50-CF0F9112D979}"/>
    <cellStyle name="Normal 5 3 3 2 3 3 3" xfId="5644" xr:uid="{00000000-0005-0000-0000-0000A7190000}"/>
    <cellStyle name="Normal 5 3 3 2 3 3 3 2" xfId="14086" xr:uid="{040A42B3-6EF3-4321-B678-FAAD5F68BE25}"/>
    <cellStyle name="Normal 5 3 3 2 3 3 4" xfId="9868" xr:uid="{EB0B9C05-2394-430D-81CE-9559DD202B1B}"/>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572B2D2E-DA2C-446A-AEF3-01C16D513EE2}"/>
    <cellStyle name="Normal 5 3 3 2 3 4 2 3" xfId="12426" xr:uid="{3C654A9A-DCF8-44AD-AEB8-25BF9AAE2F16}"/>
    <cellStyle name="Normal 5 3 3 2 3 4 3" xfId="6057" xr:uid="{00000000-0005-0000-0000-0000AB190000}"/>
    <cellStyle name="Normal 5 3 3 2 3 4 3 2" xfId="14499" xr:uid="{03E4DEF9-587C-4B70-8B44-A6E6D37FF49E}"/>
    <cellStyle name="Normal 5 3 3 2 3 4 4" xfId="10281" xr:uid="{D45EACD3-22F2-4CBC-AF9F-E4EB9EAD2A49}"/>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458A08DA-430C-4DE2-87E8-E5F4E2B82B4B}"/>
    <cellStyle name="Normal 5 3 3 2 3 5 2 3" xfId="12839" xr:uid="{95BBD58D-21C0-4979-9CA5-960D5C9B114B}"/>
    <cellStyle name="Normal 5 3 3 2 3 5 3" xfId="6470" xr:uid="{00000000-0005-0000-0000-0000AF190000}"/>
    <cellStyle name="Normal 5 3 3 2 3 5 3 2" xfId="14912" xr:uid="{4EAD0550-F9FA-4118-AD7C-D38368D4A0F4}"/>
    <cellStyle name="Normal 5 3 3 2 3 5 4" xfId="10694" xr:uid="{1B8F2796-2CA1-4F3D-ACB3-93E738CE96D1}"/>
    <cellStyle name="Normal 5 3 3 2 3 6" xfId="2599" xr:uid="{00000000-0005-0000-0000-0000B0190000}"/>
    <cellStyle name="Normal 5 3 3 2 3 6 2" xfId="6883" xr:uid="{00000000-0005-0000-0000-0000B1190000}"/>
    <cellStyle name="Normal 5 3 3 2 3 6 2 2" xfId="15325" xr:uid="{FDE325DB-D256-4A2D-9966-6B7CF0B5FF7D}"/>
    <cellStyle name="Normal 5 3 3 2 3 6 3" xfId="11107" xr:uid="{64346F22-8259-4C7D-A3B2-97701B40E5B4}"/>
    <cellStyle name="Normal 5 3 3 2 3 7" xfId="4818" xr:uid="{00000000-0005-0000-0000-0000B2190000}"/>
    <cellStyle name="Normal 5 3 3 2 3 7 2" xfId="13260" xr:uid="{E64E2666-3EAF-42F1-8077-07FF70A4EF7B}"/>
    <cellStyle name="Normal 5 3 3 2 3 8" xfId="9042" xr:uid="{7845ADE6-966E-4397-9A87-97EEF83A4F46}"/>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47BB37B1-8EFE-40D9-9BD9-32329990AFBA}"/>
    <cellStyle name="Normal 5 3 3 2 4 2 3" xfId="11597" xr:uid="{4380A423-5268-4DCD-AC1F-5E62CD9E7D13}"/>
    <cellStyle name="Normal 5 3 3 2 4 3" xfId="5228" xr:uid="{00000000-0005-0000-0000-0000B6190000}"/>
    <cellStyle name="Normal 5 3 3 2 4 3 2" xfId="13670" xr:uid="{5987F0DE-182F-49AF-B9E1-136DB9FEEE7F}"/>
    <cellStyle name="Normal 5 3 3 2 4 4" xfId="9452" xr:uid="{68E3ADE2-8AAB-4456-ADD6-CB05C269CC52}"/>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C40A3F69-CB64-4ECB-B0C6-7BE8D29E7944}"/>
    <cellStyle name="Normal 5 3 3 2 5 2 3" xfId="12010" xr:uid="{F7571355-D1A9-4AB1-B38A-4221399D72AF}"/>
    <cellStyle name="Normal 5 3 3 2 5 3" xfId="5641" xr:uid="{00000000-0005-0000-0000-0000BA190000}"/>
    <cellStyle name="Normal 5 3 3 2 5 3 2" xfId="14083" xr:uid="{3CDE4DAC-5BF2-4E56-8310-43899B2F2E1B}"/>
    <cellStyle name="Normal 5 3 3 2 5 4" xfId="9865" xr:uid="{84D5FD90-E436-43EB-95D5-9C6A482877C4}"/>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B3F07537-F911-444E-AF54-9BD559BCB4E6}"/>
    <cellStyle name="Normal 5 3 3 2 6 2 3" xfId="12423" xr:uid="{70674419-EE4A-4939-AAD4-ECC90BB01FB1}"/>
    <cellStyle name="Normal 5 3 3 2 6 3" xfId="6054" xr:uid="{00000000-0005-0000-0000-0000BE190000}"/>
    <cellStyle name="Normal 5 3 3 2 6 3 2" xfId="14496" xr:uid="{F0FA13F1-1D1B-471A-9E71-91043AF1A734}"/>
    <cellStyle name="Normal 5 3 3 2 6 4" xfId="10278" xr:uid="{F8351ABD-AC55-49F1-BE88-DAB3B17377D8}"/>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44A20CD6-350F-4E3E-A3CE-AE2DDFDF89D4}"/>
    <cellStyle name="Normal 5 3 3 2 7 2 3" xfId="12836" xr:uid="{326534F1-75E2-4192-99E9-C14538652029}"/>
    <cellStyle name="Normal 5 3 3 2 7 3" xfId="6467" xr:uid="{00000000-0005-0000-0000-0000C2190000}"/>
    <cellStyle name="Normal 5 3 3 2 7 3 2" xfId="14909" xr:uid="{B87D864F-AFBA-4812-B921-4710B9C7FEA3}"/>
    <cellStyle name="Normal 5 3 3 2 7 4" xfId="10691" xr:uid="{06C883A3-D1DA-4150-9E35-7B0925578EA9}"/>
    <cellStyle name="Normal 5 3 3 2 8" xfId="2596" xr:uid="{00000000-0005-0000-0000-0000C3190000}"/>
    <cellStyle name="Normal 5 3 3 2 8 2" xfId="6880" xr:uid="{00000000-0005-0000-0000-0000C4190000}"/>
    <cellStyle name="Normal 5 3 3 2 8 2 2" xfId="15322" xr:uid="{7019D789-2D19-4BF6-9497-70E7D1C9B203}"/>
    <cellStyle name="Normal 5 3 3 2 8 3" xfId="11104" xr:uid="{DF789469-1545-45B0-B2CE-AF082DE61291}"/>
    <cellStyle name="Normal 5 3 3 2 9" xfId="4815" xr:uid="{00000000-0005-0000-0000-0000C5190000}"/>
    <cellStyle name="Normal 5 3 3 2 9 2" xfId="13257" xr:uid="{B20EE98C-F66D-4A18-A57C-217DCD4CD1D9}"/>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006D49CB-1355-4E4C-AB40-27B2CB679509}"/>
    <cellStyle name="Normal 5 3 3 3 2 2 2 3" xfId="11602" xr:uid="{221894D8-D508-4004-A19D-6D4DEE014617}"/>
    <cellStyle name="Normal 5 3 3 3 2 2 3" xfId="5233" xr:uid="{00000000-0005-0000-0000-0000CB190000}"/>
    <cellStyle name="Normal 5 3 3 3 2 2 3 2" xfId="13675" xr:uid="{DDA4359B-45E4-40D1-97F8-C5C7A788C8C5}"/>
    <cellStyle name="Normal 5 3 3 3 2 2 4" xfId="9457" xr:uid="{6CE31917-6CD9-443F-B534-6DAED3ECB521}"/>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2E0FD248-0C22-4055-AA33-3C9A7FE90DA0}"/>
    <cellStyle name="Normal 5 3 3 3 2 3 2 3" xfId="12015" xr:uid="{32349D01-AFE0-4C89-8F3C-5E8BA3E05FA9}"/>
    <cellStyle name="Normal 5 3 3 3 2 3 3" xfId="5646" xr:uid="{00000000-0005-0000-0000-0000CF190000}"/>
    <cellStyle name="Normal 5 3 3 3 2 3 3 2" xfId="14088" xr:uid="{7FF3BB08-E4DE-4632-BFBC-6FF0A9A2132D}"/>
    <cellStyle name="Normal 5 3 3 3 2 3 4" xfId="9870" xr:uid="{6B42D389-13B7-4076-9EC2-52908C3B0D5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2DEC8BAA-10BB-4B33-A427-56B0C3E1A181}"/>
    <cellStyle name="Normal 5 3 3 3 2 4 2 3" xfId="12428" xr:uid="{DCAB9282-1574-43F2-8F9A-22BC5FB1DFA8}"/>
    <cellStyle name="Normal 5 3 3 3 2 4 3" xfId="6059" xr:uid="{00000000-0005-0000-0000-0000D3190000}"/>
    <cellStyle name="Normal 5 3 3 3 2 4 3 2" xfId="14501" xr:uid="{01268D89-D3D3-4386-940F-223EB45B802E}"/>
    <cellStyle name="Normal 5 3 3 3 2 4 4" xfId="10283" xr:uid="{2222303C-A533-4A5C-9F30-3C6D482A98F2}"/>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FFB5CB82-68A0-4F4F-9292-64A7A8EDC548}"/>
    <cellStyle name="Normal 5 3 3 3 2 5 2 3" xfId="12841" xr:uid="{6CA0A51E-9B5F-4656-95E0-3C76D48DDFB1}"/>
    <cellStyle name="Normal 5 3 3 3 2 5 3" xfId="6472" xr:uid="{00000000-0005-0000-0000-0000D7190000}"/>
    <cellStyle name="Normal 5 3 3 3 2 5 3 2" xfId="14914" xr:uid="{FFB30182-D41D-452F-89C5-FA4B22CF82CF}"/>
    <cellStyle name="Normal 5 3 3 3 2 5 4" xfId="10696" xr:uid="{93EB2342-90AF-469E-90F8-119D0B02AA90}"/>
    <cellStyle name="Normal 5 3 3 3 2 6" xfId="2601" xr:uid="{00000000-0005-0000-0000-0000D8190000}"/>
    <cellStyle name="Normal 5 3 3 3 2 6 2" xfId="6885" xr:uid="{00000000-0005-0000-0000-0000D9190000}"/>
    <cellStyle name="Normal 5 3 3 3 2 6 2 2" xfId="15327" xr:uid="{C95EEF79-41F9-474B-BB98-09E417DD933C}"/>
    <cellStyle name="Normal 5 3 3 3 2 6 3" xfId="11109" xr:uid="{51FE68A7-3823-4863-99D9-CC78B641C220}"/>
    <cellStyle name="Normal 5 3 3 3 2 7" xfId="4820" xr:uid="{00000000-0005-0000-0000-0000DA190000}"/>
    <cellStyle name="Normal 5 3 3 3 2 7 2" xfId="13262" xr:uid="{F7A1461F-FCB5-4BEC-BCF9-BA95604E2E6D}"/>
    <cellStyle name="Normal 5 3 3 3 2 8" xfId="9044" xr:uid="{A32F2A11-F734-4523-9541-3617D3D0F2C2}"/>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0DA3B856-B0B1-4B2F-8E11-DA643B324680}"/>
    <cellStyle name="Normal 5 3 3 3 3 2 3" xfId="11601" xr:uid="{C7E5720D-3DE6-44C4-A8AA-88187CE8728F}"/>
    <cellStyle name="Normal 5 3 3 3 3 3" xfId="5232" xr:uid="{00000000-0005-0000-0000-0000DE190000}"/>
    <cellStyle name="Normal 5 3 3 3 3 3 2" xfId="13674" xr:uid="{81CC6CED-F12B-4CB8-AAED-352AEED7D200}"/>
    <cellStyle name="Normal 5 3 3 3 3 4" xfId="9456" xr:uid="{94864036-8FBF-4E61-94CB-555BEA562B6B}"/>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B2CFDD99-3AAB-4BE7-AF45-A8BE94B591AA}"/>
    <cellStyle name="Normal 5 3 3 3 4 2 3" xfId="12014" xr:uid="{6C9027DE-5C61-4736-89FD-9A5651F1A776}"/>
    <cellStyle name="Normal 5 3 3 3 4 3" xfId="5645" xr:uid="{00000000-0005-0000-0000-0000E2190000}"/>
    <cellStyle name="Normal 5 3 3 3 4 3 2" xfId="14087" xr:uid="{17013977-DB8D-43C2-A88D-342109800ABD}"/>
    <cellStyle name="Normal 5 3 3 3 4 4" xfId="9869" xr:uid="{D1934E58-C53F-4324-90C2-C166062C8B05}"/>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7BCC98A6-AA40-4AAA-8902-58814F68F791}"/>
    <cellStyle name="Normal 5 3 3 3 5 2 3" xfId="12427" xr:uid="{39F954E0-5AA3-430F-8258-5222D47F733A}"/>
    <cellStyle name="Normal 5 3 3 3 5 3" xfId="6058" xr:uid="{00000000-0005-0000-0000-0000E6190000}"/>
    <cellStyle name="Normal 5 3 3 3 5 3 2" xfId="14500" xr:uid="{5C4E99B8-A701-4D3E-B517-4D1895571DC9}"/>
    <cellStyle name="Normal 5 3 3 3 5 4" xfId="10282" xr:uid="{518419FD-DABF-49E7-A0CC-BABF05832B04}"/>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00FD195A-4A1F-402B-9066-C53301C9428E}"/>
    <cellStyle name="Normal 5 3 3 3 6 2 3" xfId="12840" xr:uid="{D15D8E20-4C2F-4BA6-AD3D-9B09A61FBA51}"/>
    <cellStyle name="Normal 5 3 3 3 6 3" xfId="6471" xr:uid="{00000000-0005-0000-0000-0000EA190000}"/>
    <cellStyle name="Normal 5 3 3 3 6 3 2" xfId="14913" xr:uid="{2FC44AFF-411B-4F99-9FF9-A112FBB733E9}"/>
    <cellStyle name="Normal 5 3 3 3 6 4" xfId="10695" xr:uid="{7737093E-E9E1-41EC-BE88-00D8D82E1861}"/>
    <cellStyle name="Normal 5 3 3 3 7" xfId="2600" xr:uid="{00000000-0005-0000-0000-0000EB190000}"/>
    <cellStyle name="Normal 5 3 3 3 7 2" xfId="6884" xr:uid="{00000000-0005-0000-0000-0000EC190000}"/>
    <cellStyle name="Normal 5 3 3 3 7 2 2" xfId="15326" xr:uid="{6F3D453E-309D-4610-88A0-D88A69399438}"/>
    <cellStyle name="Normal 5 3 3 3 7 3" xfId="11108" xr:uid="{003C0A0C-7AE2-436A-8495-734CC9C25896}"/>
    <cellStyle name="Normal 5 3 3 3 8" xfId="4819" xr:uid="{00000000-0005-0000-0000-0000ED190000}"/>
    <cellStyle name="Normal 5 3 3 3 8 2" xfId="13261" xr:uid="{8A52A635-197F-4DF3-B35A-83D0A447CC1C}"/>
    <cellStyle name="Normal 5 3 3 3 9" xfId="9043" xr:uid="{823800DD-3DF4-4A0E-B9F9-4D60FEAD0407}"/>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7D2398E2-ED48-4C2E-8964-6BCF0B010D1A}"/>
    <cellStyle name="Normal 5 3 3 4 2 2 3" xfId="11603" xr:uid="{F027CEBB-EB19-4FE4-A7C3-E24F414B60B7}"/>
    <cellStyle name="Normal 5 3 3 4 2 3" xfId="5234" xr:uid="{00000000-0005-0000-0000-0000F2190000}"/>
    <cellStyle name="Normal 5 3 3 4 2 3 2" xfId="13676" xr:uid="{6DDD6FB2-F16E-40A5-B508-8C6ABB738506}"/>
    <cellStyle name="Normal 5 3 3 4 2 4" xfId="9458" xr:uid="{8A9A0831-8194-46DB-9B7B-22CDE29484D1}"/>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8FA150D6-029E-479D-BF03-FA2440786823}"/>
    <cellStyle name="Normal 5 3 3 4 3 2 3" xfId="12016" xr:uid="{1BFD1179-FF36-40FD-A557-377F116D85DB}"/>
    <cellStyle name="Normal 5 3 3 4 3 3" xfId="5647" xr:uid="{00000000-0005-0000-0000-0000F6190000}"/>
    <cellStyle name="Normal 5 3 3 4 3 3 2" xfId="14089" xr:uid="{9502B381-85FE-416E-A969-13793D679829}"/>
    <cellStyle name="Normal 5 3 3 4 3 4" xfId="9871" xr:uid="{F9724460-F2BA-41DE-8BBD-33D4B4B0F2B1}"/>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2C0975DF-8F56-44CD-B526-F3EF1847866E}"/>
    <cellStyle name="Normal 5 3 3 4 4 2 3" xfId="12429" xr:uid="{E7A09C9B-4244-42E7-8699-D577A9953CAA}"/>
    <cellStyle name="Normal 5 3 3 4 4 3" xfId="6060" xr:uid="{00000000-0005-0000-0000-0000FA190000}"/>
    <cellStyle name="Normal 5 3 3 4 4 3 2" xfId="14502" xr:uid="{A6A53F6C-EFC4-4D70-B882-C78EC8821F88}"/>
    <cellStyle name="Normal 5 3 3 4 4 4" xfId="10284" xr:uid="{1BAAD349-885E-41E0-8142-78FF90B7C6B5}"/>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64B72794-1734-4C0D-8456-858FAFA1EE8B}"/>
    <cellStyle name="Normal 5 3 3 4 5 2 3" xfId="12842" xr:uid="{129C15BF-CFDB-4FB0-A203-FCDF94CBC4D9}"/>
    <cellStyle name="Normal 5 3 3 4 5 3" xfId="6473" xr:uid="{00000000-0005-0000-0000-0000FE190000}"/>
    <cellStyle name="Normal 5 3 3 4 5 3 2" xfId="14915" xr:uid="{718C6BFB-6DF5-4FC5-966A-1D1FA2A02900}"/>
    <cellStyle name="Normal 5 3 3 4 5 4" xfId="10697" xr:uid="{1673EE45-47EC-412B-81EC-DA30114A7495}"/>
    <cellStyle name="Normal 5 3 3 4 6" xfId="2602" xr:uid="{00000000-0005-0000-0000-0000FF190000}"/>
    <cellStyle name="Normal 5 3 3 4 6 2" xfId="6886" xr:uid="{00000000-0005-0000-0000-0000001A0000}"/>
    <cellStyle name="Normal 5 3 3 4 6 2 2" xfId="15328" xr:uid="{063C68E3-2279-4D01-BF32-76CF342E1C9F}"/>
    <cellStyle name="Normal 5 3 3 4 6 3" xfId="11110" xr:uid="{CFF7EA68-D08B-49FF-8CB7-C3C20CC6DA8A}"/>
    <cellStyle name="Normal 5 3 3 4 7" xfId="4821" xr:uid="{00000000-0005-0000-0000-0000011A0000}"/>
    <cellStyle name="Normal 5 3 3 4 7 2" xfId="13263" xr:uid="{26D78F81-F605-4FBB-B7A4-6A03FF335353}"/>
    <cellStyle name="Normal 5 3 3 4 8" xfId="9045" xr:uid="{22F6C180-C0CB-483F-9073-665DF7D07826}"/>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E0EF09B5-C00D-4A31-85A6-B6BCFE0C1AD7}"/>
    <cellStyle name="Normal 5 3 3 5 2 3" xfId="11596" xr:uid="{4B47884C-89CA-4DBB-8F71-7DF85E6BC724}"/>
    <cellStyle name="Normal 5 3 3 5 3" xfId="5227" xr:uid="{00000000-0005-0000-0000-0000051A0000}"/>
    <cellStyle name="Normal 5 3 3 5 3 2" xfId="13669" xr:uid="{D78AE9DA-7D46-44EC-9E72-C410B06FAD9A}"/>
    <cellStyle name="Normal 5 3 3 5 4" xfId="9451" xr:uid="{767BCC95-5921-4252-B134-E8738908F22B}"/>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976D288C-FA96-4740-AC54-87F51C8351DE}"/>
    <cellStyle name="Normal 5 3 3 6 2 3" xfId="12009" xr:uid="{06CDEEA8-AEBD-4DB8-B15B-74A2977BFCFF}"/>
    <cellStyle name="Normal 5 3 3 6 3" xfId="5640" xr:uid="{00000000-0005-0000-0000-0000091A0000}"/>
    <cellStyle name="Normal 5 3 3 6 3 2" xfId="14082" xr:uid="{3ECB1268-4998-4D38-97AD-3414B899C4FB}"/>
    <cellStyle name="Normal 5 3 3 6 4" xfId="9864" xr:uid="{2D91FB1E-3E03-4B3F-9F6C-CB2C1A1072C7}"/>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2C3C3012-7239-42B2-BAC7-4F4F21AE0C07}"/>
    <cellStyle name="Normal 5 3 3 7 2 3" xfId="12422" xr:uid="{20792535-2641-481F-8319-D6B7AADD0D3E}"/>
    <cellStyle name="Normal 5 3 3 7 3" xfId="6053" xr:uid="{00000000-0005-0000-0000-00000D1A0000}"/>
    <cellStyle name="Normal 5 3 3 7 3 2" xfId="14495" xr:uid="{A3289374-4958-4878-9D79-F30E1F2E8505}"/>
    <cellStyle name="Normal 5 3 3 7 4" xfId="10277" xr:uid="{D1F1EC1B-3BE4-4113-8202-7BD5F5FCC8FD}"/>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C82F34B3-C17F-4000-9EE1-E5E989DD9AE4}"/>
    <cellStyle name="Normal 5 3 3 8 2 3" xfId="12835" xr:uid="{4FBB1866-6F50-4759-9A5B-4FC50B04AB12}"/>
    <cellStyle name="Normal 5 3 3 8 3" xfId="6466" xr:uid="{00000000-0005-0000-0000-0000111A0000}"/>
    <cellStyle name="Normal 5 3 3 8 3 2" xfId="14908" xr:uid="{B9A91883-1F98-41D2-84FC-21C74603E534}"/>
    <cellStyle name="Normal 5 3 3 8 4" xfId="10690" xr:uid="{9B6FD09B-042B-4FCD-8682-3C3D25BC9E8B}"/>
    <cellStyle name="Normal 5 3 3 9" xfId="2595" xr:uid="{00000000-0005-0000-0000-0000121A0000}"/>
    <cellStyle name="Normal 5 3 3 9 2" xfId="6879" xr:uid="{00000000-0005-0000-0000-0000131A0000}"/>
    <cellStyle name="Normal 5 3 3 9 2 2" xfId="15321" xr:uid="{F7BAB6C4-8C4D-4F79-9D1C-2599DE7079D9}"/>
    <cellStyle name="Normal 5 3 3 9 3" xfId="11103" xr:uid="{4D03AE16-814A-4ACF-81DF-B31DA661370C}"/>
    <cellStyle name="Normal 5 3 4" xfId="449" xr:uid="{00000000-0005-0000-0000-0000141A0000}"/>
    <cellStyle name="Normal 5 3 4 10" xfId="9046" xr:uid="{D6EC860A-CB3A-473B-A1E5-9F7540143384}"/>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5C59D8E5-B93F-4900-986E-183DECD73202}"/>
    <cellStyle name="Normal 5 3 4 2 2 2 2 3" xfId="11606" xr:uid="{C63E5466-44B9-4659-9EE5-34273F9E82FC}"/>
    <cellStyle name="Normal 5 3 4 2 2 2 3" xfId="5237" xr:uid="{00000000-0005-0000-0000-00001A1A0000}"/>
    <cellStyle name="Normal 5 3 4 2 2 2 3 2" xfId="13679" xr:uid="{0DE5CC54-2961-4A69-9F2E-A25B6A8F5B1F}"/>
    <cellStyle name="Normal 5 3 4 2 2 2 4" xfId="9461" xr:uid="{05FA9382-08BE-433D-9717-A4349996FB32}"/>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A98D5E65-5578-4CF3-90E5-79F3C4A48AD5}"/>
    <cellStyle name="Normal 5 3 4 2 2 3 2 3" xfId="12019" xr:uid="{75C6EF4C-C934-412E-ABAF-8CAA0970EED5}"/>
    <cellStyle name="Normal 5 3 4 2 2 3 3" xfId="5650" xr:uid="{00000000-0005-0000-0000-00001E1A0000}"/>
    <cellStyle name="Normal 5 3 4 2 2 3 3 2" xfId="14092" xr:uid="{E97C5504-C46A-4CE4-B08B-237D8E884A50}"/>
    <cellStyle name="Normal 5 3 4 2 2 3 4" xfId="9874" xr:uid="{EAFD46D2-AAE5-4862-A7F9-20CF7EE20187}"/>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D830FBF5-9498-49F9-856F-C3F46B4B048C}"/>
    <cellStyle name="Normal 5 3 4 2 2 4 2 3" xfId="12432" xr:uid="{FDE3F6C8-7944-47D7-A718-AC8AD7FA0BCF}"/>
    <cellStyle name="Normal 5 3 4 2 2 4 3" xfId="6063" xr:uid="{00000000-0005-0000-0000-0000221A0000}"/>
    <cellStyle name="Normal 5 3 4 2 2 4 3 2" xfId="14505" xr:uid="{185C949F-7A37-48E9-9F5A-044455EC417F}"/>
    <cellStyle name="Normal 5 3 4 2 2 4 4" xfId="10287" xr:uid="{F87CE7F3-57C7-4BC7-92F6-17AC9CBE90D7}"/>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ED652CF0-C6E6-47A9-91C0-F92D5A3DFD60}"/>
    <cellStyle name="Normal 5 3 4 2 2 5 2 3" xfId="12845" xr:uid="{99EC0119-371D-4F65-B4B1-64979F83B805}"/>
    <cellStyle name="Normal 5 3 4 2 2 5 3" xfId="6476" xr:uid="{00000000-0005-0000-0000-0000261A0000}"/>
    <cellStyle name="Normal 5 3 4 2 2 5 3 2" xfId="14918" xr:uid="{FB9B11B1-7ADD-4B80-9D22-04B0EBDA6074}"/>
    <cellStyle name="Normal 5 3 4 2 2 5 4" xfId="10700" xr:uid="{934213FF-8D58-4305-898C-E7DDF2021336}"/>
    <cellStyle name="Normal 5 3 4 2 2 6" xfId="2605" xr:uid="{00000000-0005-0000-0000-0000271A0000}"/>
    <cellStyle name="Normal 5 3 4 2 2 6 2" xfId="6889" xr:uid="{00000000-0005-0000-0000-0000281A0000}"/>
    <cellStyle name="Normal 5 3 4 2 2 6 2 2" xfId="15331" xr:uid="{4A414F0F-7CDC-43AA-BF5C-5679CB168862}"/>
    <cellStyle name="Normal 5 3 4 2 2 6 3" xfId="11113" xr:uid="{36FFA8E1-13FD-410A-A9B9-1225252F9F0A}"/>
    <cellStyle name="Normal 5 3 4 2 2 7" xfId="4824" xr:uid="{00000000-0005-0000-0000-0000291A0000}"/>
    <cellStyle name="Normal 5 3 4 2 2 7 2" xfId="13266" xr:uid="{933AB6A8-C4A2-47B8-86AC-F2450A1B2DAB}"/>
    <cellStyle name="Normal 5 3 4 2 2 8" xfId="9048" xr:uid="{D8058509-20AA-40A0-BAC8-B712DED55D59}"/>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B77A2628-8878-432F-B411-00A64500698C}"/>
    <cellStyle name="Normal 5 3 4 2 3 2 3" xfId="11605" xr:uid="{127BC2C5-BE2B-4D6E-8687-5E5D19FCE060}"/>
    <cellStyle name="Normal 5 3 4 2 3 3" xfId="5236" xr:uid="{00000000-0005-0000-0000-00002D1A0000}"/>
    <cellStyle name="Normal 5 3 4 2 3 3 2" xfId="13678" xr:uid="{CA6EC687-E7B1-4CF5-9146-93728FCCF6E1}"/>
    <cellStyle name="Normal 5 3 4 2 3 4" xfId="9460" xr:uid="{0CB7FDF3-BFB5-491B-80A6-C7FA519800D6}"/>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55F078DA-E254-415B-91AE-52AE19AC17B3}"/>
    <cellStyle name="Normal 5 3 4 2 4 2 3" xfId="12018" xr:uid="{A13A4BE9-79D4-4769-A828-97FDBBF0C82D}"/>
    <cellStyle name="Normal 5 3 4 2 4 3" xfId="5649" xr:uid="{00000000-0005-0000-0000-0000311A0000}"/>
    <cellStyle name="Normal 5 3 4 2 4 3 2" xfId="14091" xr:uid="{D62815AB-71B8-4EF9-8CEB-D91A42173AF0}"/>
    <cellStyle name="Normal 5 3 4 2 4 4" xfId="9873" xr:uid="{44A153B4-C686-4F0B-A258-88E92D411DB4}"/>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33AE3936-A3DA-4F96-839C-D5C6CF27B7FC}"/>
    <cellStyle name="Normal 5 3 4 2 5 2 3" xfId="12431" xr:uid="{176B6E69-5C5D-4D68-A971-C20E8BD63E03}"/>
    <cellStyle name="Normal 5 3 4 2 5 3" xfId="6062" xr:uid="{00000000-0005-0000-0000-0000351A0000}"/>
    <cellStyle name="Normal 5 3 4 2 5 3 2" xfId="14504" xr:uid="{29BE814D-F551-4156-8596-7F157F7E90F1}"/>
    <cellStyle name="Normal 5 3 4 2 5 4" xfId="10286" xr:uid="{8348E843-736F-45C3-A1FB-A2F7F47E1D2F}"/>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237BA071-CED2-4601-8F34-BC0161283524}"/>
    <cellStyle name="Normal 5 3 4 2 6 2 3" xfId="12844" xr:uid="{7257D087-9B3C-4134-948D-A4186839667F}"/>
    <cellStyle name="Normal 5 3 4 2 6 3" xfId="6475" xr:uid="{00000000-0005-0000-0000-0000391A0000}"/>
    <cellStyle name="Normal 5 3 4 2 6 3 2" xfId="14917" xr:uid="{129D27AB-C77E-4908-AD83-E3DB80490867}"/>
    <cellStyle name="Normal 5 3 4 2 6 4" xfId="10699" xr:uid="{C5A7CFF1-3C93-40DD-BC37-8D4C9A2B0973}"/>
    <cellStyle name="Normal 5 3 4 2 7" xfId="2604" xr:uid="{00000000-0005-0000-0000-00003A1A0000}"/>
    <cellStyle name="Normal 5 3 4 2 7 2" xfId="6888" xr:uid="{00000000-0005-0000-0000-00003B1A0000}"/>
    <cellStyle name="Normal 5 3 4 2 7 2 2" xfId="15330" xr:uid="{D4B36F5D-3FA8-4F21-8895-77BEEF792B20}"/>
    <cellStyle name="Normal 5 3 4 2 7 3" xfId="11112" xr:uid="{88219D3C-0E41-40DF-A99F-8BA123EEC571}"/>
    <cellStyle name="Normal 5 3 4 2 8" xfId="4823" xr:uid="{00000000-0005-0000-0000-00003C1A0000}"/>
    <cellStyle name="Normal 5 3 4 2 8 2" xfId="13265" xr:uid="{69785E24-D344-4B45-9037-2C2B35BC3CF4}"/>
    <cellStyle name="Normal 5 3 4 2 9" xfId="9047" xr:uid="{88306F47-0C34-4F67-8D5C-0F85BA4FD8DF}"/>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4BE71CF9-823B-449B-B006-48F4354E92E3}"/>
    <cellStyle name="Normal 5 3 4 3 2 2 3" xfId="11607" xr:uid="{9771AE06-4AEC-44D6-B896-A34F80F265B1}"/>
    <cellStyle name="Normal 5 3 4 3 2 3" xfId="5238" xr:uid="{00000000-0005-0000-0000-0000411A0000}"/>
    <cellStyle name="Normal 5 3 4 3 2 3 2" xfId="13680" xr:uid="{8B31B946-9AF4-4D92-84DA-8BDE9A111041}"/>
    <cellStyle name="Normal 5 3 4 3 2 4" xfId="9462" xr:uid="{187F2156-36F3-4241-B452-B923312DBCB0}"/>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8991A16C-8A95-406A-991B-5752A8FFA71C}"/>
    <cellStyle name="Normal 5 3 4 3 3 2 3" xfId="12020" xr:uid="{699567DB-74DA-4AA4-A245-9C06EC550F87}"/>
    <cellStyle name="Normal 5 3 4 3 3 3" xfId="5651" xr:uid="{00000000-0005-0000-0000-0000451A0000}"/>
    <cellStyle name="Normal 5 3 4 3 3 3 2" xfId="14093" xr:uid="{CEF441EC-CF30-472E-99C0-A214CA302E24}"/>
    <cellStyle name="Normal 5 3 4 3 3 4" xfId="9875" xr:uid="{5E9210B6-8335-4385-9F45-254A4BDAC179}"/>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C7F46B7D-3D8E-440C-A97D-B6E81FE13A61}"/>
    <cellStyle name="Normal 5 3 4 3 4 2 3" xfId="12433" xr:uid="{03507AD9-F3C0-46D1-9187-6CC5393EB357}"/>
    <cellStyle name="Normal 5 3 4 3 4 3" xfId="6064" xr:uid="{00000000-0005-0000-0000-0000491A0000}"/>
    <cellStyle name="Normal 5 3 4 3 4 3 2" xfId="14506" xr:uid="{1396DE6C-8EDA-4E03-AEBB-E6880CC55B86}"/>
    <cellStyle name="Normal 5 3 4 3 4 4" xfId="10288" xr:uid="{E6F3A518-34EB-4FE1-8199-B846F62544A7}"/>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6573C2D6-F971-482D-8A2E-EFAE5D446569}"/>
    <cellStyle name="Normal 5 3 4 3 5 2 3" xfId="12846" xr:uid="{E94F96A0-4849-4F32-BA2D-636B80B9AE78}"/>
    <cellStyle name="Normal 5 3 4 3 5 3" xfId="6477" xr:uid="{00000000-0005-0000-0000-00004D1A0000}"/>
    <cellStyle name="Normal 5 3 4 3 5 3 2" xfId="14919" xr:uid="{558B449E-FB4F-4A9F-A4DB-DF4E2426090C}"/>
    <cellStyle name="Normal 5 3 4 3 5 4" xfId="10701" xr:uid="{C0AFB6E5-D7F9-423D-9418-D33D5112322D}"/>
    <cellStyle name="Normal 5 3 4 3 6" xfId="2606" xr:uid="{00000000-0005-0000-0000-00004E1A0000}"/>
    <cellStyle name="Normal 5 3 4 3 6 2" xfId="6890" xr:uid="{00000000-0005-0000-0000-00004F1A0000}"/>
    <cellStyle name="Normal 5 3 4 3 6 2 2" xfId="15332" xr:uid="{EB07BF1A-6B2D-4596-A649-A6F8FB0F08A4}"/>
    <cellStyle name="Normal 5 3 4 3 6 3" xfId="11114" xr:uid="{8DCDCFDE-9AA1-44A5-B73F-E46E37A47149}"/>
    <cellStyle name="Normal 5 3 4 3 7" xfId="4825" xr:uid="{00000000-0005-0000-0000-0000501A0000}"/>
    <cellStyle name="Normal 5 3 4 3 7 2" xfId="13267" xr:uid="{0E438A13-86E1-414B-A0CE-9595621A8F9A}"/>
    <cellStyle name="Normal 5 3 4 3 8" xfId="9049" xr:uid="{2904E41A-5515-46B7-AF9B-D9B4E3CA7B36}"/>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07308D53-7F7D-43D8-AB61-7FB9D5E95521}"/>
    <cellStyle name="Normal 5 3 4 4 2 3" xfId="11604" xr:uid="{93D0E304-2A97-421B-9FA5-0BDAD226BA45}"/>
    <cellStyle name="Normal 5 3 4 4 3" xfId="5235" xr:uid="{00000000-0005-0000-0000-0000541A0000}"/>
    <cellStyle name="Normal 5 3 4 4 3 2" xfId="13677" xr:uid="{61C920BA-19E7-4FA5-A620-03FE99C96B7E}"/>
    <cellStyle name="Normal 5 3 4 4 4" xfId="9459" xr:uid="{6D7AEFD5-AE23-4D72-B476-D1920DCDBA85}"/>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0FF45543-E1F8-4B89-9898-693022544786}"/>
    <cellStyle name="Normal 5 3 4 5 2 3" xfId="12017" xr:uid="{2B77E419-A605-4D59-B784-49E0799ABBDE}"/>
    <cellStyle name="Normal 5 3 4 5 3" xfId="5648" xr:uid="{00000000-0005-0000-0000-0000581A0000}"/>
    <cellStyle name="Normal 5 3 4 5 3 2" xfId="14090" xr:uid="{937EC237-EDCA-474B-9560-0DCDB7AFC772}"/>
    <cellStyle name="Normal 5 3 4 5 4" xfId="9872" xr:uid="{D281279A-893D-4C35-9A82-B371BC8C5C7D}"/>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45C3046C-DB9B-4BE0-96FF-DCB38B50CB6D}"/>
    <cellStyle name="Normal 5 3 4 6 2 3" xfId="12430" xr:uid="{A5FB51E3-63FF-4BE8-A0B2-60BEE4425404}"/>
    <cellStyle name="Normal 5 3 4 6 3" xfId="6061" xr:uid="{00000000-0005-0000-0000-00005C1A0000}"/>
    <cellStyle name="Normal 5 3 4 6 3 2" xfId="14503" xr:uid="{EDB6DEBD-54BC-42F9-9740-28C918B475C6}"/>
    <cellStyle name="Normal 5 3 4 6 4" xfId="10285" xr:uid="{20D5335C-BBFE-4A93-A903-C9F1E3D743EB}"/>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BBA6559C-9366-4F6C-8CE4-20AC1E5C2CD4}"/>
    <cellStyle name="Normal 5 3 4 7 2 3" xfId="12843" xr:uid="{BCFD7DFB-D5D7-4873-BC8A-5C11E73FD000}"/>
    <cellStyle name="Normal 5 3 4 7 3" xfId="6474" xr:uid="{00000000-0005-0000-0000-0000601A0000}"/>
    <cellStyle name="Normal 5 3 4 7 3 2" xfId="14916" xr:uid="{5141223E-7027-47F0-AC61-7EF031F2159B}"/>
    <cellStyle name="Normal 5 3 4 7 4" xfId="10698" xr:uid="{444BAC86-3242-4501-A7CE-1056B9623BB7}"/>
    <cellStyle name="Normal 5 3 4 8" xfId="2603" xr:uid="{00000000-0005-0000-0000-0000611A0000}"/>
    <cellStyle name="Normal 5 3 4 8 2" xfId="6887" xr:uid="{00000000-0005-0000-0000-0000621A0000}"/>
    <cellStyle name="Normal 5 3 4 8 2 2" xfId="15329" xr:uid="{4CF93F90-6911-401E-A8E4-E83973902F1D}"/>
    <cellStyle name="Normal 5 3 4 8 3" xfId="11111" xr:uid="{EE303B76-D471-45B3-BD1A-A6DE20F3DA38}"/>
    <cellStyle name="Normal 5 3 4 9" xfId="4822" xr:uid="{00000000-0005-0000-0000-0000631A0000}"/>
    <cellStyle name="Normal 5 3 4 9 2" xfId="13264" xr:uid="{F82B7412-6324-483F-A1EE-83F84AE32BED}"/>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075D6EB9-5AB2-4024-A5BB-42DDCBE03BCB}"/>
    <cellStyle name="Normal 5 3 5 2 2 2 3" xfId="11609" xr:uid="{8A546F70-F32C-4E34-A579-6CB10B46F170}"/>
    <cellStyle name="Normal 5 3 5 2 2 3" xfId="5240" xr:uid="{00000000-0005-0000-0000-0000691A0000}"/>
    <cellStyle name="Normal 5 3 5 2 2 3 2" xfId="13682" xr:uid="{21E879D6-90D0-43F6-822E-E7357A7DA627}"/>
    <cellStyle name="Normal 5 3 5 2 2 4" xfId="9464" xr:uid="{EAADE24E-0B83-4E1D-992C-B1E3172DF3F4}"/>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00949851-A155-43D1-A6F0-8227DF1DDD87}"/>
    <cellStyle name="Normal 5 3 5 2 3 2 3" xfId="12022" xr:uid="{53B3CB86-89B1-4721-836D-D64549B6D233}"/>
    <cellStyle name="Normal 5 3 5 2 3 3" xfId="5653" xr:uid="{00000000-0005-0000-0000-00006D1A0000}"/>
    <cellStyle name="Normal 5 3 5 2 3 3 2" xfId="14095" xr:uid="{E0DB2DF5-6E19-4912-8469-0FD01BAFADC4}"/>
    <cellStyle name="Normal 5 3 5 2 3 4" xfId="9877" xr:uid="{9F2572C0-D055-446F-9DBE-406D32F01BF8}"/>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DFD88FE7-731F-4420-9EFA-0089F1E8C397}"/>
    <cellStyle name="Normal 5 3 5 2 4 2 3" xfId="12435" xr:uid="{0BEE5646-2A21-4640-988D-A09FA4E8E580}"/>
    <cellStyle name="Normal 5 3 5 2 4 3" xfId="6066" xr:uid="{00000000-0005-0000-0000-0000711A0000}"/>
    <cellStyle name="Normal 5 3 5 2 4 3 2" xfId="14508" xr:uid="{D26A3CDC-1817-4D7C-A54A-05243EE58932}"/>
    <cellStyle name="Normal 5 3 5 2 4 4" xfId="10290" xr:uid="{F39E71D9-0814-4348-B506-FF2BFDC76416}"/>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CCEFA30E-7573-419A-96D6-02FC8B6407C2}"/>
    <cellStyle name="Normal 5 3 5 2 5 2 3" xfId="12848" xr:uid="{7C441843-309E-4131-A93E-C508EB712413}"/>
    <cellStyle name="Normal 5 3 5 2 5 3" xfId="6479" xr:uid="{00000000-0005-0000-0000-0000751A0000}"/>
    <cellStyle name="Normal 5 3 5 2 5 3 2" xfId="14921" xr:uid="{E43CA8DF-088F-4D13-B4D0-C76132D5E8F1}"/>
    <cellStyle name="Normal 5 3 5 2 5 4" xfId="10703" xr:uid="{85E675EF-628F-4D20-94F4-29CD760ECBA2}"/>
    <cellStyle name="Normal 5 3 5 2 6" xfId="2608" xr:uid="{00000000-0005-0000-0000-0000761A0000}"/>
    <cellStyle name="Normal 5 3 5 2 6 2" xfId="6892" xr:uid="{00000000-0005-0000-0000-0000771A0000}"/>
    <cellStyle name="Normal 5 3 5 2 6 2 2" xfId="15334" xr:uid="{9F53EFA4-5278-46EB-A826-858AF136F5A8}"/>
    <cellStyle name="Normal 5 3 5 2 6 3" xfId="11116" xr:uid="{8532C234-89A9-4716-B4F2-7D6118EB4F2F}"/>
    <cellStyle name="Normal 5 3 5 2 7" xfId="4827" xr:uid="{00000000-0005-0000-0000-0000781A0000}"/>
    <cellStyle name="Normal 5 3 5 2 7 2" xfId="13269" xr:uid="{05B2D7C2-E363-4558-9839-C1DDF076DCD4}"/>
    <cellStyle name="Normal 5 3 5 2 8" xfId="9051" xr:uid="{5D4CEB9B-6474-4F50-90B4-03EA03EC3247}"/>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FD31AA42-1F0E-46A4-8668-9DC5AEBCD90D}"/>
    <cellStyle name="Normal 5 3 5 3 2 3" xfId="11608" xr:uid="{93527534-92C7-42C7-8F77-A6E84714EFD5}"/>
    <cellStyle name="Normal 5 3 5 3 3" xfId="5239" xr:uid="{00000000-0005-0000-0000-00007C1A0000}"/>
    <cellStyle name="Normal 5 3 5 3 3 2" xfId="13681" xr:uid="{1E5333AB-D24A-4B80-A5DA-89A6FE4D9B11}"/>
    <cellStyle name="Normal 5 3 5 3 4" xfId="9463" xr:uid="{F5EF3840-D909-4687-AEE1-96DF389FB37E}"/>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FC3C29E9-F3F1-4B02-A954-6850E29D488E}"/>
    <cellStyle name="Normal 5 3 5 4 2 3" xfId="12021" xr:uid="{9F635DA6-A904-409A-A2D8-E78F8BEBA8DF}"/>
    <cellStyle name="Normal 5 3 5 4 3" xfId="5652" xr:uid="{00000000-0005-0000-0000-0000801A0000}"/>
    <cellStyle name="Normal 5 3 5 4 3 2" xfId="14094" xr:uid="{D0B750EB-F8BF-40ED-9FF6-F1DF5BAB89AC}"/>
    <cellStyle name="Normal 5 3 5 4 4" xfId="9876" xr:uid="{00D4E867-21A2-4A1E-B2DD-161D8FAD2D21}"/>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BD9CF671-8597-44BB-928F-ACA118472343}"/>
    <cellStyle name="Normal 5 3 5 5 2 3" xfId="12434" xr:uid="{9AA4D527-174F-4AA3-B7FA-8A559F3C581D}"/>
    <cellStyle name="Normal 5 3 5 5 3" xfId="6065" xr:uid="{00000000-0005-0000-0000-0000841A0000}"/>
    <cellStyle name="Normal 5 3 5 5 3 2" xfId="14507" xr:uid="{D88FB4AC-0773-40B7-82F8-1FE1630199F1}"/>
    <cellStyle name="Normal 5 3 5 5 4" xfId="10289" xr:uid="{444768DF-5A49-4534-BC12-E60A75AA97E3}"/>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646F9698-27E0-4F20-89D5-8045A3B54012}"/>
    <cellStyle name="Normal 5 3 5 6 2 3" xfId="12847" xr:uid="{9B269265-7F16-41E5-A724-2E2044942F78}"/>
    <cellStyle name="Normal 5 3 5 6 3" xfId="6478" xr:uid="{00000000-0005-0000-0000-0000881A0000}"/>
    <cellStyle name="Normal 5 3 5 6 3 2" xfId="14920" xr:uid="{6B651E90-938F-4E9F-98A6-31B9DC98783D}"/>
    <cellStyle name="Normal 5 3 5 6 4" xfId="10702" xr:uid="{BA3B27F6-3F26-4385-B5ED-FF42EE396221}"/>
    <cellStyle name="Normal 5 3 5 7" xfId="2607" xr:uid="{00000000-0005-0000-0000-0000891A0000}"/>
    <cellStyle name="Normal 5 3 5 7 2" xfId="6891" xr:uid="{00000000-0005-0000-0000-00008A1A0000}"/>
    <cellStyle name="Normal 5 3 5 7 2 2" xfId="15333" xr:uid="{254069FC-683E-4F90-966D-77D7F128564A}"/>
    <cellStyle name="Normal 5 3 5 7 3" xfId="11115" xr:uid="{9B570E9A-7331-4D19-AAB2-FF4746248424}"/>
    <cellStyle name="Normal 5 3 5 8" xfId="4826" xr:uid="{00000000-0005-0000-0000-00008B1A0000}"/>
    <cellStyle name="Normal 5 3 5 8 2" xfId="13268" xr:uid="{14812699-30C5-4C90-9F29-232C707442B5}"/>
    <cellStyle name="Normal 5 3 5 9" xfId="9050" xr:uid="{A25F5A20-CB46-49E1-98E3-ECB7EC025842}"/>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8844FCBF-4726-4ED4-90A0-D88B4B1CF15D}"/>
    <cellStyle name="Normal 5 3 6 2 2 3" xfId="11610" xr:uid="{5853BC19-38B1-422B-A7E7-88084EEB564C}"/>
    <cellStyle name="Normal 5 3 6 2 3" xfId="5241" xr:uid="{00000000-0005-0000-0000-0000901A0000}"/>
    <cellStyle name="Normal 5 3 6 2 3 2" xfId="13683" xr:uid="{4849DB38-C2C9-4D5C-8079-FFAEB6FEB697}"/>
    <cellStyle name="Normal 5 3 6 2 4" xfId="9465" xr:uid="{C6F57837-91C7-4CAD-BC74-1ABBF02A0B06}"/>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575577DF-9DE2-40F5-B0A0-1F626122B948}"/>
    <cellStyle name="Normal 5 3 6 3 2 3" xfId="12023" xr:uid="{79647534-46A5-4CE0-9629-E6992A694C3B}"/>
    <cellStyle name="Normal 5 3 6 3 3" xfId="5654" xr:uid="{00000000-0005-0000-0000-0000941A0000}"/>
    <cellStyle name="Normal 5 3 6 3 3 2" xfId="14096" xr:uid="{D38D2A7F-21C0-45B4-9144-2E8C51643273}"/>
    <cellStyle name="Normal 5 3 6 3 4" xfId="9878" xr:uid="{862DA418-98CA-4C34-B97F-BBFF2537680B}"/>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89A965E5-ACF5-418B-A8D7-1568AAEE7BE2}"/>
    <cellStyle name="Normal 5 3 6 4 2 3" xfId="12436" xr:uid="{4C090ADC-EFB2-4391-85BF-FAAD1D34F038}"/>
    <cellStyle name="Normal 5 3 6 4 3" xfId="6067" xr:uid="{00000000-0005-0000-0000-0000981A0000}"/>
    <cellStyle name="Normal 5 3 6 4 3 2" xfId="14509" xr:uid="{F610EE7A-9476-4D7C-B19E-69D494671BF9}"/>
    <cellStyle name="Normal 5 3 6 4 4" xfId="10291" xr:uid="{25DFD05B-C27E-4089-86E1-9E9082850707}"/>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D0E171A8-C66D-4F93-9F4E-4539A4CC8EB8}"/>
    <cellStyle name="Normal 5 3 6 5 2 3" xfId="12849" xr:uid="{634FEAF7-58D7-4C33-A52E-E0B2CFCC848B}"/>
    <cellStyle name="Normal 5 3 6 5 3" xfId="6480" xr:uid="{00000000-0005-0000-0000-00009C1A0000}"/>
    <cellStyle name="Normal 5 3 6 5 3 2" xfId="14922" xr:uid="{C64522B1-374A-4538-A618-FACE5E4BC1AE}"/>
    <cellStyle name="Normal 5 3 6 5 4" xfId="10704" xr:uid="{1C41765D-3317-4F09-B0D3-5DF3BD37AB61}"/>
    <cellStyle name="Normal 5 3 6 6" xfId="2609" xr:uid="{00000000-0005-0000-0000-00009D1A0000}"/>
    <cellStyle name="Normal 5 3 6 6 2" xfId="6893" xr:uid="{00000000-0005-0000-0000-00009E1A0000}"/>
    <cellStyle name="Normal 5 3 6 6 2 2" xfId="15335" xr:uid="{33668B83-59E0-4AF4-BD63-FE1C79D27BAC}"/>
    <cellStyle name="Normal 5 3 6 6 3" xfId="11117" xr:uid="{FB7858DB-98C4-42A9-A572-47E7728B7340}"/>
    <cellStyle name="Normal 5 3 6 7" xfId="4828" xr:uid="{00000000-0005-0000-0000-00009F1A0000}"/>
    <cellStyle name="Normal 5 3 6 7 2" xfId="13270" xr:uid="{F2BC1D3E-A7A0-4B9C-B48F-CE2A2A804AD4}"/>
    <cellStyle name="Normal 5 3 6 8" xfId="9052" xr:uid="{3842AFCB-41B9-4F48-87BA-3A28DB566497}"/>
    <cellStyle name="Normal 5 3 7" xfId="913" xr:uid="{00000000-0005-0000-0000-0000A01A0000}"/>
    <cellStyle name="Normal 5 3 7 2" xfId="3148" xr:uid="{00000000-0005-0000-0000-0000A11A0000}"/>
    <cellStyle name="Normal 5 3 7 2 2" xfId="7371" xr:uid="{00000000-0005-0000-0000-0000A21A0000}"/>
    <cellStyle name="Normal 5 3 7 2 2 2" xfId="15813" xr:uid="{B01ED3BA-EB58-4C49-BCB6-7808C3925218}"/>
    <cellStyle name="Normal 5 3 7 2 3" xfId="11595" xr:uid="{BCF76AE2-2351-46F1-BCAC-B8532F49F2F4}"/>
    <cellStyle name="Normal 5 3 7 3" xfId="5226" xr:uid="{00000000-0005-0000-0000-0000A31A0000}"/>
    <cellStyle name="Normal 5 3 7 3 2" xfId="13668" xr:uid="{CA574E24-5FA3-471A-802D-77FA7845220E}"/>
    <cellStyle name="Normal 5 3 7 4" xfId="9450" xr:uid="{D72DAC58-8471-4F42-B435-37721D3F2B6A}"/>
    <cellStyle name="Normal 5 3 8" xfId="1331" xr:uid="{00000000-0005-0000-0000-0000A41A0000}"/>
    <cellStyle name="Normal 5 3 8 2" xfId="3561" xr:uid="{00000000-0005-0000-0000-0000A51A0000}"/>
    <cellStyle name="Normal 5 3 8 2 2" xfId="7784" xr:uid="{00000000-0005-0000-0000-0000A61A0000}"/>
    <cellStyle name="Normal 5 3 8 2 2 2" xfId="16226" xr:uid="{C5A1AC6A-FAA7-4C2C-8742-0B9D958B4C68}"/>
    <cellStyle name="Normal 5 3 8 2 3" xfId="12008" xr:uid="{CB497776-2A60-463E-8DB0-856B22396072}"/>
    <cellStyle name="Normal 5 3 8 3" xfId="5639" xr:uid="{00000000-0005-0000-0000-0000A71A0000}"/>
    <cellStyle name="Normal 5 3 8 3 2" xfId="14081" xr:uid="{A4FC85B2-4580-4F25-94F8-227DC8B365BD}"/>
    <cellStyle name="Normal 5 3 8 4" xfId="9863" xr:uid="{629B489D-A610-4493-9CA1-CDC8A799B0E6}"/>
    <cellStyle name="Normal 5 3 9" xfId="1744" xr:uid="{00000000-0005-0000-0000-0000A81A0000}"/>
    <cellStyle name="Normal 5 3 9 2" xfId="3974" xr:uid="{00000000-0005-0000-0000-0000A91A0000}"/>
    <cellStyle name="Normal 5 3 9 2 2" xfId="8197" xr:uid="{00000000-0005-0000-0000-0000AA1A0000}"/>
    <cellStyle name="Normal 5 3 9 2 2 2" xfId="16639" xr:uid="{6ACE4E7C-596F-4B13-8204-5CC6100F5C0F}"/>
    <cellStyle name="Normal 5 3 9 2 3" xfId="12421" xr:uid="{10F9ACBF-C7B6-4C61-8562-5A4C896B4535}"/>
    <cellStyle name="Normal 5 3 9 3" xfId="6052" xr:uid="{00000000-0005-0000-0000-0000AB1A0000}"/>
    <cellStyle name="Normal 5 3 9 3 2" xfId="14494" xr:uid="{4F0B28BA-6EA9-45ED-9E63-6D106C8077E9}"/>
    <cellStyle name="Normal 5 3 9 4" xfId="10276" xr:uid="{99F84305-47BF-4ABB-BDF5-FAE59D882872}"/>
    <cellStyle name="Normal 5 4" xfId="456" xr:uid="{00000000-0005-0000-0000-0000AC1A0000}"/>
    <cellStyle name="Normal 5 4 10" xfId="4829" xr:uid="{00000000-0005-0000-0000-0000AD1A0000}"/>
    <cellStyle name="Normal 5 4 10 2" xfId="13271" xr:uid="{1446B5DC-DB79-4688-B279-E0821CC5FC91}"/>
    <cellStyle name="Normal 5 4 11" xfId="9053" xr:uid="{86788242-2324-4FF8-BCFA-5475FB41DD05}"/>
    <cellStyle name="Normal 5 4 2" xfId="457" xr:uid="{00000000-0005-0000-0000-0000AE1A0000}"/>
    <cellStyle name="Normal 5 4 2 10" xfId="9054" xr:uid="{D3A4C70D-0AA7-447B-AD62-5FC2C114C84B}"/>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FD89B79A-DCBF-4A45-949F-6F5DF5E8F6CC}"/>
    <cellStyle name="Normal 5 4 2 2 2 2 2 3" xfId="11614" xr:uid="{7E9C4D2B-5B0A-40BE-9859-1EE8A0540681}"/>
    <cellStyle name="Normal 5 4 2 2 2 2 3" xfId="5245" xr:uid="{00000000-0005-0000-0000-0000B41A0000}"/>
    <cellStyle name="Normal 5 4 2 2 2 2 3 2" xfId="13687" xr:uid="{F59075CA-BCED-47D9-8E58-1610D1398B8C}"/>
    <cellStyle name="Normal 5 4 2 2 2 2 4" xfId="9469" xr:uid="{6A0E1BA4-59DF-432D-B82F-A57D3B450D4B}"/>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6FD0CCA6-01A2-497E-A54A-E7E53D2E6349}"/>
    <cellStyle name="Normal 5 4 2 2 2 3 2 3" xfId="12027" xr:uid="{064236ED-19DD-496F-881E-4F67AADA84B1}"/>
    <cellStyle name="Normal 5 4 2 2 2 3 3" xfId="5658" xr:uid="{00000000-0005-0000-0000-0000B81A0000}"/>
    <cellStyle name="Normal 5 4 2 2 2 3 3 2" xfId="14100" xr:uid="{0FC3FE69-3063-4FD8-B88C-D35CD551BBC3}"/>
    <cellStyle name="Normal 5 4 2 2 2 3 4" xfId="9882" xr:uid="{3778B4DD-5FF9-47F9-B307-71F28F1723EA}"/>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7CB08EA4-CD20-49C2-AF02-C0429DDA09A9}"/>
    <cellStyle name="Normal 5 4 2 2 2 4 2 3" xfId="12440" xr:uid="{767F600D-5D18-45A0-A9D3-D299BA73E91E}"/>
    <cellStyle name="Normal 5 4 2 2 2 4 3" xfId="6071" xr:uid="{00000000-0005-0000-0000-0000BC1A0000}"/>
    <cellStyle name="Normal 5 4 2 2 2 4 3 2" xfId="14513" xr:uid="{D319D4E9-20AA-4782-A26F-89CAD20D5A59}"/>
    <cellStyle name="Normal 5 4 2 2 2 4 4" xfId="10295" xr:uid="{FDC9678F-5A5B-4706-B2DC-53E812E9267C}"/>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D3BA93EF-AA47-4413-B4CA-FF1411F76616}"/>
    <cellStyle name="Normal 5 4 2 2 2 5 2 3" xfId="12853" xr:uid="{2CC9471D-3D91-4EF9-AB2D-85AB87D5F3B0}"/>
    <cellStyle name="Normal 5 4 2 2 2 5 3" xfId="6484" xr:uid="{00000000-0005-0000-0000-0000C01A0000}"/>
    <cellStyle name="Normal 5 4 2 2 2 5 3 2" xfId="14926" xr:uid="{0AE13722-BE8F-46DC-87A6-EDFD025D9398}"/>
    <cellStyle name="Normal 5 4 2 2 2 5 4" xfId="10708" xr:uid="{4E41CBDC-6B7E-4B4B-8924-806EF838748B}"/>
    <cellStyle name="Normal 5 4 2 2 2 6" xfId="2613" xr:uid="{00000000-0005-0000-0000-0000C11A0000}"/>
    <cellStyle name="Normal 5 4 2 2 2 6 2" xfId="6897" xr:uid="{00000000-0005-0000-0000-0000C21A0000}"/>
    <cellStyle name="Normal 5 4 2 2 2 6 2 2" xfId="15339" xr:uid="{E09652FF-2458-4804-B5C8-D3ACF0AC93F2}"/>
    <cellStyle name="Normal 5 4 2 2 2 6 3" xfId="11121" xr:uid="{0996EACC-5E54-4E89-A20E-5944E4634ED2}"/>
    <cellStyle name="Normal 5 4 2 2 2 7" xfId="4832" xr:uid="{00000000-0005-0000-0000-0000C31A0000}"/>
    <cellStyle name="Normal 5 4 2 2 2 7 2" xfId="13274" xr:uid="{781BB71B-60BC-4A1A-8FDE-DB2396B4A095}"/>
    <cellStyle name="Normal 5 4 2 2 2 8" xfId="9056" xr:uid="{3418E2E0-FEE8-43E9-9985-714DDB4281AD}"/>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31A3E3D2-F250-4BA2-94A2-D3AB7183D87A}"/>
    <cellStyle name="Normal 5 4 2 2 3 2 3" xfId="11613" xr:uid="{E5706593-7DCF-4866-8DB9-26F9B74F9779}"/>
    <cellStyle name="Normal 5 4 2 2 3 3" xfId="5244" xr:uid="{00000000-0005-0000-0000-0000C71A0000}"/>
    <cellStyle name="Normal 5 4 2 2 3 3 2" xfId="13686" xr:uid="{FE521D20-E96A-424C-BEB3-CEDB85361841}"/>
    <cellStyle name="Normal 5 4 2 2 3 4" xfId="9468" xr:uid="{B81A1446-4DA3-45A9-99EC-E227978FB06E}"/>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399978F8-C646-433D-8C18-A59FFE7929CF}"/>
    <cellStyle name="Normal 5 4 2 2 4 2 3" xfId="12026" xr:uid="{5DC1B803-3AD5-442D-8F95-6AD4BDB2A88A}"/>
    <cellStyle name="Normal 5 4 2 2 4 3" xfId="5657" xr:uid="{00000000-0005-0000-0000-0000CB1A0000}"/>
    <cellStyle name="Normal 5 4 2 2 4 3 2" xfId="14099" xr:uid="{E66E4551-E511-4688-9956-C23C9B7ABE16}"/>
    <cellStyle name="Normal 5 4 2 2 4 4" xfId="9881" xr:uid="{8D7275D2-FCD5-4E18-912C-76392CC2771C}"/>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87FCB54D-7702-4A1E-BF6D-992BD3409717}"/>
    <cellStyle name="Normal 5 4 2 2 5 2 3" xfId="12439" xr:uid="{A347CCCC-E634-48BD-8C3D-2C033B2815F8}"/>
    <cellStyle name="Normal 5 4 2 2 5 3" xfId="6070" xr:uid="{00000000-0005-0000-0000-0000CF1A0000}"/>
    <cellStyle name="Normal 5 4 2 2 5 3 2" xfId="14512" xr:uid="{C247AA93-469A-4C74-8402-70E5D7101D46}"/>
    <cellStyle name="Normal 5 4 2 2 5 4" xfId="10294" xr:uid="{0A893CAF-6379-4791-90A1-CC388AC1D2D5}"/>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F5D600F8-52E6-445A-BEEF-F8D958419138}"/>
    <cellStyle name="Normal 5 4 2 2 6 2 3" xfId="12852" xr:uid="{47584A65-4AC4-4D2C-8B1E-7DD3B666E7F5}"/>
    <cellStyle name="Normal 5 4 2 2 6 3" xfId="6483" xr:uid="{00000000-0005-0000-0000-0000D31A0000}"/>
    <cellStyle name="Normal 5 4 2 2 6 3 2" xfId="14925" xr:uid="{09F180BC-75B3-483B-A27C-E69085405343}"/>
    <cellStyle name="Normal 5 4 2 2 6 4" xfId="10707" xr:uid="{88D15EED-330B-4C46-81E1-5B8BF098BBAB}"/>
    <cellStyle name="Normal 5 4 2 2 7" xfId="2612" xr:uid="{00000000-0005-0000-0000-0000D41A0000}"/>
    <cellStyle name="Normal 5 4 2 2 7 2" xfId="6896" xr:uid="{00000000-0005-0000-0000-0000D51A0000}"/>
    <cellStyle name="Normal 5 4 2 2 7 2 2" xfId="15338" xr:uid="{77303CD4-D5A4-4E01-B346-E35DFB463813}"/>
    <cellStyle name="Normal 5 4 2 2 7 3" xfId="11120" xr:uid="{FEF09C2A-351A-488D-A920-FB497668B814}"/>
    <cellStyle name="Normal 5 4 2 2 8" xfId="4831" xr:uid="{00000000-0005-0000-0000-0000D61A0000}"/>
    <cellStyle name="Normal 5 4 2 2 8 2" xfId="13273" xr:uid="{FB693074-5EEB-44CD-AB61-76A9DF26FBDC}"/>
    <cellStyle name="Normal 5 4 2 2 9" xfId="9055" xr:uid="{1457273B-C02B-4FE9-B1A0-28F8C6BCEC73}"/>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2B11E70D-2BDF-4BF2-8AB0-49397A2EEF09}"/>
    <cellStyle name="Normal 5 4 2 3 2 2 3" xfId="11615" xr:uid="{CA1A841B-DCBC-4D2B-986E-327043F5B1E6}"/>
    <cellStyle name="Normal 5 4 2 3 2 3" xfId="5246" xr:uid="{00000000-0005-0000-0000-0000DB1A0000}"/>
    <cellStyle name="Normal 5 4 2 3 2 3 2" xfId="13688" xr:uid="{AC2359DF-62EC-498D-87AC-135C524926BF}"/>
    <cellStyle name="Normal 5 4 2 3 2 4" xfId="9470" xr:uid="{44A4CF6B-63A9-4E85-9C85-762B6C29D735}"/>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EAB8E274-7240-4E8E-8638-9DFFDA16959B}"/>
    <cellStyle name="Normal 5 4 2 3 3 2 3" xfId="12028" xr:uid="{F76D4723-9131-43F0-ACF2-430329522CEB}"/>
    <cellStyle name="Normal 5 4 2 3 3 3" xfId="5659" xr:uid="{00000000-0005-0000-0000-0000DF1A0000}"/>
    <cellStyle name="Normal 5 4 2 3 3 3 2" xfId="14101" xr:uid="{1571D08D-F02F-4573-8F21-EF25B4843DDB}"/>
    <cellStyle name="Normal 5 4 2 3 3 4" xfId="9883" xr:uid="{52CA47A2-0CA0-4AE5-B40A-8B95AE1459F1}"/>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708D616E-01BD-45A0-9776-DDAAF9EA02DC}"/>
    <cellStyle name="Normal 5 4 2 3 4 2 3" xfId="12441" xr:uid="{058F41F9-B85A-42AC-B9EF-0C51665A49E0}"/>
    <cellStyle name="Normal 5 4 2 3 4 3" xfId="6072" xr:uid="{00000000-0005-0000-0000-0000E31A0000}"/>
    <cellStyle name="Normal 5 4 2 3 4 3 2" xfId="14514" xr:uid="{46343244-B7E5-4E0A-8B29-E7F309F76607}"/>
    <cellStyle name="Normal 5 4 2 3 4 4" xfId="10296" xr:uid="{AFCB5CA3-B423-4668-A594-73CC63C7FCBF}"/>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064AFDD5-5172-451A-9772-FB5635D47C5E}"/>
    <cellStyle name="Normal 5 4 2 3 5 2 3" xfId="12854" xr:uid="{1ECEA4DE-5410-4465-9EF7-611264A5344F}"/>
    <cellStyle name="Normal 5 4 2 3 5 3" xfId="6485" xr:uid="{00000000-0005-0000-0000-0000E71A0000}"/>
    <cellStyle name="Normal 5 4 2 3 5 3 2" xfId="14927" xr:uid="{81DD9CC9-3F63-4B80-8110-724B8556CDE8}"/>
    <cellStyle name="Normal 5 4 2 3 5 4" xfId="10709" xr:uid="{9ED3C69C-2E8C-4EBB-86D4-EA22A2098E07}"/>
    <cellStyle name="Normal 5 4 2 3 6" xfId="2614" xr:uid="{00000000-0005-0000-0000-0000E81A0000}"/>
    <cellStyle name="Normal 5 4 2 3 6 2" xfId="6898" xr:uid="{00000000-0005-0000-0000-0000E91A0000}"/>
    <cellStyle name="Normal 5 4 2 3 6 2 2" xfId="15340" xr:uid="{A560E8C9-7730-4357-91CB-7D034FBAF768}"/>
    <cellStyle name="Normal 5 4 2 3 6 3" xfId="11122" xr:uid="{3E2D398A-8B74-4B3C-8D52-A57F095779BE}"/>
    <cellStyle name="Normal 5 4 2 3 7" xfId="4833" xr:uid="{00000000-0005-0000-0000-0000EA1A0000}"/>
    <cellStyle name="Normal 5 4 2 3 7 2" xfId="13275" xr:uid="{6BDEF5B7-9BBC-476E-B3F8-9AD9C388A4C5}"/>
    <cellStyle name="Normal 5 4 2 3 8" xfId="9057" xr:uid="{19E43E3B-4D9C-4414-B774-99C88BCD271E}"/>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72D627F9-CCDA-49EB-9A8E-67484EF9B612}"/>
    <cellStyle name="Normal 5 4 2 4 2 3" xfId="11612" xr:uid="{45A74C49-A3A6-47FA-98A6-7F5EF7975148}"/>
    <cellStyle name="Normal 5 4 2 4 3" xfId="5243" xr:uid="{00000000-0005-0000-0000-0000EE1A0000}"/>
    <cellStyle name="Normal 5 4 2 4 3 2" xfId="13685" xr:uid="{8750EF2D-C7A9-4FEF-8775-99F8F8DFD8F0}"/>
    <cellStyle name="Normal 5 4 2 4 4" xfId="9467" xr:uid="{5A4C0C33-FF8B-4764-BF5C-271B430CA56E}"/>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712BAD1C-4E48-46F0-9B20-266EAE64B187}"/>
    <cellStyle name="Normal 5 4 2 5 2 3" xfId="12025" xr:uid="{80B871D8-78E3-4025-BD75-45A83DB872FC}"/>
    <cellStyle name="Normal 5 4 2 5 3" xfId="5656" xr:uid="{00000000-0005-0000-0000-0000F21A0000}"/>
    <cellStyle name="Normal 5 4 2 5 3 2" xfId="14098" xr:uid="{088A8545-FF22-4E0A-84B3-98B630EECC89}"/>
    <cellStyle name="Normal 5 4 2 5 4" xfId="9880" xr:uid="{0DE501ED-90BE-40CC-8580-9EA9F2FB63FE}"/>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7990827E-D999-4499-96A0-415172C14D45}"/>
    <cellStyle name="Normal 5 4 2 6 2 3" xfId="12438" xr:uid="{642C99E5-0437-4C16-ACA1-B166915BB674}"/>
    <cellStyle name="Normal 5 4 2 6 3" xfId="6069" xr:uid="{00000000-0005-0000-0000-0000F61A0000}"/>
    <cellStyle name="Normal 5 4 2 6 3 2" xfId="14511" xr:uid="{5ECCF4A4-65A7-4F2E-A053-8A9FEC821B6C}"/>
    <cellStyle name="Normal 5 4 2 6 4" xfId="10293" xr:uid="{298DEE28-04E4-4D51-AE9E-1CED78019CE0}"/>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5924E3C7-7354-4D64-90A3-82217B82DB01}"/>
    <cellStyle name="Normal 5 4 2 7 2 3" xfId="12851" xr:uid="{FE608E66-2968-45CC-A79C-1424390D662B}"/>
    <cellStyle name="Normal 5 4 2 7 3" xfId="6482" xr:uid="{00000000-0005-0000-0000-0000FA1A0000}"/>
    <cellStyle name="Normal 5 4 2 7 3 2" xfId="14924" xr:uid="{15BA3A59-E717-4086-AF65-CBA73A085CDB}"/>
    <cellStyle name="Normal 5 4 2 7 4" xfId="10706" xr:uid="{13513976-FB16-4AAA-8F11-537B810F1416}"/>
    <cellStyle name="Normal 5 4 2 8" xfId="2611" xr:uid="{00000000-0005-0000-0000-0000FB1A0000}"/>
    <cellStyle name="Normal 5 4 2 8 2" xfId="6895" xr:uid="{00000000-0005-0000-0000-0000FC1A0000}"/>
    <cellStyle name="Normal 5 4 2 8 2 2" xfId="15337" xr:uid="{46C58AA8-1674-43DA-A841-27A70C11575E}"/>
    <cellStyle name="Normal 5 4 2 8 3" xfId="11119" xr:uid="{CED3A375-86D2-43C5-AD12-9ECEFF029F03}"/>
    <cellStyle name="Normal 5 4 2 9" xfId="4830" xr:uid="{00000000-0005-0000-0000-0000FD1A0000}"/>
    <cellStyle name="Normal 5 4 2 9 2" xfId="13272" xr:uid="{1DFF622A-67F6-47B2-A1E4-0BE78D41CB3E}"/>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906A52A2-FDB2-4025-92AD-366BB720AF64}"/>
    <cellStyle name="Normal 5 4 3 2 2 2 3" xfId="11617" xr:uid="{AD3567F2-6706-488F-A644-489DBB88C114}"/>
    <cellStyle name="Normal 5 4 3 2 2 3" xfId="5248" xr:uid="{00000000-0005-0000-0000-0000031B0000}"/>
    <cellStyle name="Normal 5 4 3 2 2 3 2" xfId="13690" xr:uid="{06EB48DD-5D2E-41C9-A2A7-93DE6D4AD0B3}"/>
    <cellStyle name="Normal 5 4 3 2 2 4" xfId="9472" xr:uid="{41C93867-6FAB-4F7D-BB85-A5A4BFDA25B9}"/>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6AFD234A-AE5F-460D-A96A-380E8D4A3C4B}"/>
    <cellStyle name="Normal 5 4 3 2 3 2 3" xfId="12030" xr:uid="{BCCCA0D4-2E57-46BB-BFA6-36B13ED620B3}"/>
    <cellStyle name="Normal 5 4 3 2 3 3" xfId="5661" xr:uid="{00000000-0005-0000-0000-0000071B0000}"/>
    <cellStyle name="Normal 5 4 3 2 3 3 2" xfId="14103" xr:uid="{12D8AC56-F84E-4D96-9453-E1FA276FD231}"/>
    <cellStyle name="Normal 5 4 3 2 3 4" xfId="9885" xr:uid="{0A86E6AD-D658-42C9-8F9E-6180DB483529}"/>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0BD15B34-EC31-4251-9827-12A694293482}"/>
    <cellStyle name="Normal 5 4 3 2 4 2 3" xfId="12443" xr:uid="{E62D5A4B-0D97-41C4-81AF-A9B47E69DA86}"/>
    <cellStyle name="Normal 5 4 3 2 4 3" xfId="6074" xr:uid="{00000000-0005-0000-0000-00000B1B0000}"/>
    <cellStyle name="Normal 5 4 3 2 4 3 2" xfId="14516" xr:uid="{D969776C-A05F-4B15-9BCC-CDDCABED6ADA}"/>
    <cellStyle name="Normal 5 4 3 2 4 4" xfId="10298" xr:uid="{03409BA4-A695-4ABF-8847-485D79FBB351}"/>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0C13A872-C035-4FC6-8262-D246512FD87E}"/>
    <cellStyle name="Normal 5 4 3 2 5 2 3" xfId="12856" xr:uid="{8557DBCD-225B-4D21-A2BE-357CB26C3A6F}"/>
    <cellStyle name="Normal 5 4 3 2 5 3" xfId="6487" xr:uid="{00000000-0005-0000-0000-00000F1B0000}"/>
    <cellStyle name="Normal 5 4 3 2 5 3 2" xfId="14929" xr:uid="{8C35F66C-356B-4216-BE30-A50488323971}"/>
    <cellStyle name="Normal 5 4 3 2 5 4" xfId="10711" xr:uid="{03C46E14-3831-4F73-A259-37D288D043AF}"/>
    <cellStyle name="Normal 5 4 3 2 6" xfId="2616" xr:uid="{00000000-0005-0000-0000-0000101B0000}"/>
    <cellStyle name="Normal 5 4 3 2 6 2" xfId="6900" xr:uid="{00000000-0005-0000-0000-0000111B0000}"/>
    <cellStyle name="Normal 5 4 3 2 6 2 2" xfId="15342" xr:uid="{6D17486C-075A-48CD-8C3D-A5B6C413439A}"/>
    <cellStyle name="Normal 5 4 3 2 6 3" xfId="11124" xr:uid="{2C6B0E1F-EF15-4683-BE00-9A414F0FEAB4}"/>
    <cellStyle name="Normal 5 4 3 2 7" xfId="4835" xr:uid="{00000000-0005-0000-0000-0000121B0000}"/>
    <cellStyle name="Normal 5 4 3 2 7 2" xfId="13277" xr:uid="{D6B5F18C-F23F-4BE2-ADBA-128520B138D3}"/>
    <cellStyle name="Normal 5 4 3 2 8" xfId="9059" xr:uid="{4483B62E-79F3-499E-BCDE-7156A23BE9A0}"/>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F674CCB6-C82A-43B1-881A-745C5AA183B6}"/>
    <cellStyle name="Normal 5 4 3 3 2 3" xfId="11616" xr:uid="{5C95D3C3-E05D-4572-8D44-F0D78B5E9639}"/>
    <cellStyle name="Normal 5 4 3 3 3" xfId="5247" xr:uid="{00000000-0005-0000-0000-0000161B0000}"/>
    <cellStyle name="Normal 5 4 3 3 3 2" xfId="13689" xr:uid="{D056A548-D2DC-4BF8-9668-C78E14E6BA0D}"/>
    <cellStyle name="Normal 5 4 3 3 4" xfId="9471" xr:uid="{8DF84AA0-A1F7-4FD8-ADEF-BC265AB745EF}"/>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7C34930C-3604-4FD4-8A4F-A7B71ADD725D}"/>
    <cellStyle name="Normal 5 4 3 4 2 3" xfId="12029" xr:uid="{A3671823-4C41-45CB-A451-E3335619F4A3}"/>
    <cellStyle name="Normal 5 4 3 4 3" xfId="5660" xr:uid="{00000000-0005-0000-0000-00001A1B0000}"/>
    <cellStyle name="Normal 5 4 3 4 3 2" xfId="14102" xr:uid="{B4BC01B5-E0BB-4FC2-84B6-70E8BFB6015A}"/>
    <cellStyle name="Normal 5 4 3 4 4" xfId="9884" xr:uid="{5329AA19-3414-4607-8173-3231977B1A33}"/>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94500E2B-D36D-4D40-9EB2-DEBCC3BFF885}"/>
    <cellStyle name="Normal 5 4 3 5 2 3" xfId="12442" xr:uid="{9D491D8B-64F0-4289-A26F-6A85C9F8FB2B}"/>
    <cellStyle name="Normal 5 4 3 5 3" xfId="6073" xr:uid="{00000000-0005-0000-0000-00001E1B0000}"/>
    <cellStyle name="Normal 5 4 3 5 3 2" xfId="14515" xr:uid="{47F796AA-DFBC-4447-9BAE-20D45ACA7F1A}"/>
    <cellStyle name="Normal 5 4 3 5 4" xfId="10297" xr:uid="{C718D02D-0850-45F0-AB4A-AE759EFA98D9}"/>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DCBE7BA1-E611-4DB0-8056-F3EA90EE49DB}"/>
    <cellStyle name="Normal 5 4 3 6 2 3" xfId="12855" xr:uid="{18FF4593-7588-4FEC-9224-E0D551B9B921}"/>
    <cellStyle name="Normal 5 4 3 6 3" xfId="6486" xr:uid="{00000000-0005-0000-0000-0000221B0000}"/>
    <cellStyle name="Normal 5 4 3 6 3 2" xfId="14928" xr:uid="{FE690415-CF77-439B-A9FE-4F0E946506FD}"/>
    <cellStyle name="Normal 5 4 3 6 4" xfId="10710" xr:uid="{1DEF6559-0A52-4671-9A59-0D41234396CD}"/>
    <cellStyle name="Normal 5 4 3 7" xfId="2615" xr:uid="{00000000-0005-0000-0000-0000231B0000}"/>
    <cellStyle name="Normal 5 4 3 7 2" xfId="6899" xr:uid="{00000000-0005-0000-0000-0000241B0000}"/>
    <cellStyle name="Normal 5 4 3 7 2 2" xfId="15341" xr:uid="{8CFDF154-9C73-451F-B5D7-151217E411FE}"/>
    <cellStyle name="Normal 5 4 3 7 3" xfId="11123" xr:uid="{0209B4C7-F567-47D3-984F-25E7D5477D0E}"/>
    <cellStyle name="Normal 5 4 3 8" xfId="4834" xr:uid="{00000000-0005-0000-0000-0000251B0000}"/>
    <cellStyle name="Normal 5 4 3 8 2" xfId="13276" xr:uid="{34D4965D-6664-4908-82B9-632AB03C3A39}"/>
    <cellStyle name="Normal 5 4 3 9" xfId="9058" xr:uid="{6704B4C6-4505-41BF-9366-E859B63ABF3B}"/>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3E365D85-CCB7-4612-85D3-953DDD7B9144}"/>
    <cellStyle name="Normal 5 4 4 2 2 3" xfId="11618" xr:uid="{BC1B80C5-11D8-411C-8A10-15CE01D2F5A9}"/>
    <cellStyle name="Normal 5 4 4 2 3" xfId="5249" xr:uid="{00000000-0005-0000-0000-00002A1B0000}"/>
    <cellStyle name="Normal 5 4 4 2 3 2" xfId="13691" xr:uid="{942E4338-2F95-451F-9F87-F3608BBEB481}"/>
    <cellStyle name="Normal 5 4 4 2 4" xfId="9473" xr:uid="{441B7705-2A64-43DC-AD22-8F003A88C560}"/>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067C0832-B256-4D59-975F-FA64C816E440}"/>
    <cellStyle name="Normal 5 4 4 3 2 3" xfId="12031" xr:uid="{334D19C5-8F86-4948-9D94-F831D6BDBA59}"/>
    <cellStyle name="Normal 5 4 4 3 3" xfId="5662" xr:uid="{00000000-0005-0000-0000-00002E1B0000}"/>
    <cellStyle name="Normal 5 4 4 3 3 2" xfId="14104" xr:uid="{B788526E-31AF-43A7-B17A-CA349F26256C}"/>
    <cellStyle name="Normal 5 4 4 3 4" xfId="9886" xr:uid="{665E55C6-00B4-4A4A-ADE1-A6CB6D90D4EF}"/>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7517EA06-2185-40C4-AA2B-3D927BF8B038}"/>
    <cellStyle name="Normal 5 4 4 4 2 3" xfId="12444" xr:uid="{6B067E6F-32E5-4267-96E9-B4C85DCE84B5}"/>
    <cellStyle name="Normal 5 4 4 4 3" xfId="6075" xr:uid="{00000000-0005-0000-0000-0000321B0000}"/>
    <cellStyle name="Normal 5 4 4 4 3 2" xfId="14517" xr:uid="{0FA96066-1E2F-4D18-A872-6D56C573B010}"/>
    <cellStyle name="Normal 5 4 4 4 4" xfId="10299" xr:uid="{6ADD1872-679E-402F-A82F-57C32867E58F}"/>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15E8A9E1-C6D7-4379-B53C-1BDF92255E18}"/>
    <cellStyle name="Normal 5 4 4 5 2 3" xfId="12857" xr:uid="{3B79A88F-A1E3-4F03-A516-D71B0B4F2B1B}"/>
    <cellStyle name="Normal 5 4 4 5 3" xfId="6488" xr:uid="{00000000-0005-0000-0000-0000361B0000}"/>
    <cellStyle name="Normal 5 4 4 5 3 2" xfId="14930" xr:uid="{0C179104-303F-4525-8ECC-CB82FE5408A3}"/>
    <cellStyle name="Normal 5 4 4 5 4" xfId="10712" xr:uid="{3177F4BC-2C42-47DA-9C0E-0C613E3AC91D}"/>
    <cellStyle name="Normal 5 4 4 6" xfId="2617" xr:uid="{00000000-0005-0000-0000-0000371B0000}"/>
    <cellStyle name="Normal 5 4 4 6 2" xfId="6901" xr:uid="{00000000-0005-0000-0000-0000381B0000}"/>
    <cellStyle name="Normal 5 4 4 6 2 2" xfId="15343" xr:uid="{70247EEC-952E-4B55-BAD2-628472798417}"/>
    <cellStyle name="Normal 5 4 4 6 3" xfId="11125" xr:uid="{1A422155-CB52-4C55-A73C-C743EC03F92A}"/>
    <cellStyle name="Normal 5 4 4 7" xfId="4836" xr:uid="{00000000-0005-0000-0000-0000391B0000}"/>
    <cellStyle name="Normal 5 4 4 7 2" xfId="13278" xr:uid="{67BA74B5-66B7-4CF9-A5FC-CDBBD59FDC52}"/>
    <cellStyle name="Normal 5 4 4 8" xfId="9060" xr:uid="{E718AC84-CC1D-453E-98A9-91A35885EAF7}"/>
    <cellStyle name="Normal 5 4 5" xfId="930" xr:uid="{00000000-0005-0000-0000-00003A1B0000}"/>
    <cellStyle name="Normal 5 4 5 2" xfId="3164" xr:uid="{00000000-0005-0000-0000-00003B1B0000}"/>
    <cellStyle name="Normal 5 4 5 2 2" xfId="7387" xr:uid="{00000000-0005-0000-0000-00003C1B0000}"/>
    <cellStyle name="Normal 5 4 5 2 2 2" xfId="15829" xr:uid="{D7C1DC82-0188-4AED-B6C8-F44D2F0A2A08}"/>
    <cellStyle name="Normal 5 4 5 2 3" xfId="11611" xr:uid="{4FF1E0FC-3AEF-4BF4-84C8-E72F592629C4}"/>
    <cellStyle name="Normal 5 4 5 3" xfId="5242" xr:uid="{00000000-0005-0000-0000-00003D1B0000}"/>
    <cellStyle name="Normal 5 4 5 3 2" xfId="13684" xr:uid="{B427FB4D-6E00-4A20-8379-EE48C45CBE44}"/>
    <cellStyle name="Normal 5 4 5 4" xfId="9466" xr:uid="{AD653070-E254-4024-8EAA-3DCE3CCA6690}"/>
    <cellStyle name="Normal 5 4 6" xfId="1347" xr:uid="{00000000-0005-0000-0000-00003E1B0000}"/>
    <cellStyle name="Normal 5 4 6 2" xfId="3577" xr:uid="{00000000-0005-0000-0000-00003F1B0000}"/>
    <cellStyle name="Normal 5 4 6 2 2" xfId="7800" xr:uid="{00000000-0005-0000-0000-0000401B0000}"/>
    <cellStyle name="Normal 5 4 6 2 2 2" xfId="16242" xr:uid="{395FA69F-AA98-4A6E-B040-754C80994277}"/>
    <cellStyle name="Normal 5 4 6 2 3" xfId="12024" xr:uid="{9376D974-C248-4C8D-9E75-33D81C9166A8}"/>
    <cellStyle name="Normal 5 4 6 3" xfId="5655" xr:uid="{00000000-0005-0000-0000-0000411B0000}"/>
    <cellStyle name="Normal 5 4 6 3 2" xfId="14097" xr:uid="{46990D1B-5F4A-4FDD-9994-50F2F5702F33}"/>
    <cellStyle name="Normal 5 4 6 4" xfId="9879" xr:uid="{E335B9AE-41D4-4967-986B-B814E0D7DBE4}"/>
    <cellStyle name="Normal 5 4 7" xfId="1760" xr:uid="{00000000-0005-0000-0000-0000421B0000}"/>
    <cellStyle name="Normal 5 4 7 2" xfId="3990" xr:uid="{00000000-0005-0000-0000-0000431B0000}"/>
    <cellStyle name="Normal 5 4 7 2 2" xfId="8213" xr:uid="{00000000-0005-0000-0000-0000441B0000}"/>
    <cellStyle name="Normal 5 4 7 2 2 2" xfId="16655" xr:uid="{82204391-6C21-41E6-A1FF-50693A9804E4}"/>
    <cellStyle name="Normal 5 4 7 2 3" xfId="12437" xr:uid="{0316A839-D706-4A60-9C37-99F04D4DA44B}"/>
    <cellStyle name="Normal 5 4 7 3" xfId="6068" xr:uid="{00000000-0005-0000-0000-0000451B0000}"/>
    <cellStyle name="Normal 5 4 7 3 2" xfId="14510" xr:uid="{8199E0F0-83A3-4360-A093-21912ECBF995}"/>
    <cellStyle name="Normal 5 4 7 4" xfId="10292" xr:uid="{DB975BD2-F16E-4700-BAD6-442B6B96F338}"/>
    <cellStyle name="Normal 5 4 8" xfId="2174" xr:uid="{00000000-0005-0000-0000-0000461B0000}"/>
    <cellStyle name="Normal 5 4 8 2" xfId="4403" xr:uid="{00000000-0005-0000-0000-0000471B0000}"/>
    <cellStyle name="Normal 5 4 8 2 2" xfId="8626" xr:uid="{00000000-0005-0000-0000-0000481B0000}"/>
    <cellStyle name="Normal 5 4 8 2 2 2" xfId="17068" xr:uid="{958DA390-1B87-4035-B4D4-A8EEACC16F50}"/>
    <cellStyle name="Normal 5 4 8 2 3" xfId="12850" xr:uid="{BF921E0D-393A-4B10-9EEE-EA732462E975}"/>
    <cellStyle name="Normal 5 4 8 3" xfId="6481" xr:uid="{00000000-0005-0000-0000-0000491B0000}"/>
    <cellStyle name="Normal 5 4 8 3 2" xfId="14923" xr:uid="{AFCFDB84-83A8-4EAB-AE4B-70D539BDA5D4}"/>
    <cellStyle name="Normal 5 4 8 4" xfId="10705" xr:uid="{0DA9E530-AAC1-49A4-93DB-3FCE4C7CFACD}"/>
    <cellStyle name="Normal 5 4 9" xfId="2610" xr:uid="{00000000-0005-0000-0000-00004A1B0000}"/>
    <cellStyle name="Normal 5 4 9 2" xfId="6894" xr:uid="{00000000-0005-0000-0000-00004B1B0000}"/>
    <cellStyle name="Normal 5 4 9 2 2" xfId="15336" xr:uid="{5C02177D-9B39-4F14-89C8-25A5FC91F393}"/>
    <cellStyle name="Normal 5 4 9 3" xfId="11118" xr:uid="{C263578A-AB8A-49FC-AD25-9E1BF83B1BFE}"/>
    <cellStyle name="Normal 5 5" xfId="464" xr:uid="{00000000-0005-0000-0000-00004C1B0000}"/>
    <cellStyle name="Normal 5 5 10" xfId="9061" xr:uid="{3DFF4FE3-B069-4898-A386-6DB896288312}"/>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4009A0B0-DBE1-4353-80EC-24FDC234EB9D}"/>
    <cellStyle name="Normal 5 5 2 2 2 2 3" xfId="11621" xr:uid="{0DA68044-2A49-4BA2-A922-35364480CBB7}"/>
    <cellStyle name="Normal 5 5 2 2 2 3" xfId="5252" xr:uid="{00000000-0005-0000-0000-0000521B0000}"/>
    <cellStyle name="Normal 5 5 2 2 2 3 2" xfId="13694" xr:uid="{D45EE92B-E375-4F4E-8F35-40C408ACE090}"/>
    <cellStyle name="Normal 5 5 2 2 2 4" xfId="9476" xr:uid="{D778A1E8-97F1-46F9-9656-6116D90DDB59}"/>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CBE9D69C-CF77-40D1-89F5-8552CCABCF47}"/>
    <cellStyle name="Normal 5 5 2 2 3 2 3" xfId="12034" xr:uid="{2B38424A-E391-413C-A895-EC44B7ECF52B}"/>
    <cellStyle name="Normal 5 5 2 2 3 3" xfId="5665" xr:uid="{00000000-0005-0000-0000-0000561B0000}"/>
    <cellStyle name="Normal 5 5 2 2 3 3 2" xfId="14107" xr:uid="{C6DE6570-3A21-4016-8207-7F5E6AF5BEB1}"/>
    <cellStyle name="Normal 5 5 2 2 3 4" xfId="9889" xr:uid="{F43BF2B9-8F94-40F0-8ADA-F480DF74379D}"/>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89477B81-AECC-49D7-BA61-764BF5175873}"/>
    <cellStyle name="Normal 5 5 2 2 4 2 3" xfId="12447" xr:uid="{F65F1D10-1AE2-4C3B-88F0-279EAA40C258}"/>
    <cellStyle name="Normal 5 5 2 2 4 3" xfId="6078" xr:uid="{00000000-0005-0000-0000-00005A1B0000}"/>
    <cellStyle name="Normal 5 5 2 2 4 3 2" xfId="14520" xr:uid="{6C506BFE-2A18-44C4-B270-301ED46CE3DC}"/>
    <cellStyle name="Normal 5 5 2 2 4 4" xfId="10302" xr:uid="{42777D96-102A-4D30-AB05-AEDBF833CB13}"/>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0325A5F0-272C-41AD-A2AD-BEE3E8201B06}"/>
    <cellStyle name="Normal 5 5 2 2 5 2 3" xfId="12860" xr:uid="{3E26F8B2-C876-4FD3-ACDC-2ABF70B28861}"/>
    <cellStyle name="Normal 5 5 2 2 5 3" xfId="6491" xr:uid="{00000000-0005-0000-0000-00005E1B0000}"/>
    <cellStyle name="Normal 5 5 2 2 5 3 2" xfId="14933" xr:uid="{E11DCE87-22E3-49F8-811A-2F3A7D5996A4}"/>
    <cellStyle name="Normal 5 5 2 2 5 4" xfId="10715" xr:uid="{CE70DA96-3A1B-4ECA-93CF-3ED3E3C3D286}"/>
    <cellStyle name="Normal 5 5 2 2 6" xfId="2620" xr:uid="{00000000-0005-0000-0000-00005F1B0000}"/>
    <cellStyle name="Normal 5 5 2 2 6 2" xfId="6904" xr:uid="{00000000-0005-0000-0000-0000601B0000}"/>
    <cellStyle name="Normal 5 5 2 2 6 2 2" xfId="15346" xr:uid="{764302D6-5F0F-44A1-9C99-1562D698A6C5}"/>
    <cellStyle name="Normal 5 5 2 2 6 3" xfId="11128" xr:uid="{3A995FAD-49ED-4318-80C3-E68D7AB0BD6D}"/>
    <cellStyle name="Normal 5 5 2 2 7" xfId="4839" xr:uid="{00000000-0005-0000-0000-0000611B0000}"/>
    <cellStyle name="Normal 5 5 2 2 7 2" xfId="13281" xr:uid="{44979B28-56E9-4A4A-9467-6629B36E5828}"/>
    <cellStyle name="Normal 5 5 2 2 8" xfId="9063" xr:uid="{99658BFE-3C9C-4757-86F6-DDAE73A57B3E}"/>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8DBA89A5-6211-4BFA-B305-6D3C65DEA167}"/>
    <cellStyle name="Normal 5 5 2 3 2 3" xfId="11620" xr:uid="{4432D5CA-694F-41CC-9754-92C0996A048E}"/>
    <cellStyle name="Normal 5 5 2 3 3" xfId="5251" xr:uid="{00000000-0005-0000-0000-0000651B0000}"/>
    <cellStyle name="Normal 5 5 2 3 3 2" xfId="13693" xr:uid="{C847975D-B76A-48F1-B41B-4415CE0E5582}"/>
    <cellStyle name="Normal 5 5 2 3 4" xfId="9475" xr:uid="{FB878F50-141A-4CF6-9F9F-3D3BBD2DA5F0}"/>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F07C7BE7-CB1C-4D47-851F-0AF18C5023E5}"/>
    <cellStyle name="Normal 5 5 2 4 2 3" xfId="12033" xr:uid="{4E7239FF-CBBC-4670-BC85-3EB3F3200D6A}"/>
    <cellStyle name="Normal 5 5 2 4 3" xfId="5664" xr:uid="{00000000-0005-0000-0000-0000691B0000}"/>
    <cellStyle name="Normal 5 5 2 4 3 2" xfId="14106" xr:uid="{35452E66-8D2B-4507-B890-783C69B6B925}"/>
    <cellStyle name="Normal 5 5 2 4 4" xfId="9888" xr:uid="{44AF6A7A-42F3-4D12-8BF6-DEB609AA5616}"/>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5A7C854E-9F04-45B3-B617-D3B228F38A54}"/>
    <cellStyle name="Normal 5 5 2 5 2 3" xfId="12446" xr:uid="{05B84C0C-0E3C-4F8D-9C0A-CA4F6FCD11F4}"/>
    <cellStyle name="Normal 5 5 2 5 3" xfId="6077" xr:uid="{00000000-0005-0000-0000-00006D1B0000}"/>
    <cellStyle name="Normal 5 5 2 5 3 2" xfId="14519" xr:uid="{FFD0CCF5-3ACD-4574-BE2F-019069562D34}"/>
    <cellStyle name="Normal 5 5 2 5 4" xfId="10301" xr:uid="{196B4F38-8ED9-4483-B5B5-3A1CF83E2444}"/>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E72916DB-9F83-4826-B682-91665BBC0BB8}"/>
    <cellStyle name="Normal 5 5 2 6 2 3" xfId="12859" xr:uid="{CBF66063-905C-4A14-8681-FC1A3B011339}"/>
    <cellStyle name="Normal 5 5 2 6 3" xfId="6490" xr:uid="{00000000-0005-0000-0000-0000711B0000}"/>
    <cellStyle name="Normal 5 5 2 6 3 2" xfId="14932" xr:uid="{D84E3E2A-D6F2-449F-8CD6-61338C6F3DC6}"/>
    <cellStyle name="Normal 5 5 2 6 4" xfId="10714" xr:uid="{D97EC226-09A0-42BF-A1A9-B8792B12139E}"/>
    <cellStyle name="Normal 5 5 2 7" xfId="2619" xr:uid="{00000000-0005-0000-0000-0000721B0000}"/>
    <cellStyle name="Normal 5 5 2 7 2" xfId="6903" xr:uid="{00000000-0005-0000-0000-0000731B0000}"/>
    <cellStyle name="Normal 5 5 2 7 2 2" xfId="15345" xr:uid="{9D00C166-E4D5-4915-AB85-F42C340B5656}"/>
    <cellStyle name="Normal 5 5 2 7 3" xfId="11127" xr:uid="{7C09830F-C1BC-4411-B4F2-BAC05A5F9A9C}"/>
    <cellStyle name="Normal 5 5 2 8" xfId="4838" xr:uid="{00000000-0005-0000-0000-0000741B0000}"/>
    <cellStyle name="Normal 5 5 2 8 2" xfId="13280" xr:uid="{924476EC-66FF-4EC0-93F9-BC51546F8B14}"/>
    <cellStyle name="Normal 5 5 2 9" xfId="9062" xr:uid="{6BB69DA8-083E-4412-A53D-A3978EC8E4CE}"/>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1554A8B0-F743-434E-BF78-119AF4BD2578}"/>
    <cellStyle name="Normal 5 5 3 2 2 3" xfId="11622" xr:uid="{C4FD0155-BC8C-49D1-80F6-1E803FB36114}"/>
    <cellStyle name="Normal 5 5 3 2 3" xfId="5253" xr:uid="{00000000-0005-0000-0000-0000791B0000}"/>
    <cellStyle name="Normal 5 5 3 2 3 2" xfId="13695" xr:uid="{F3342CD3-A42A-446C-B4A2-C2A11A7F7BEB}"/>
    <cellStyle name="Normal 5 5 3 2 4" xfId="9477" xr:uid="{55A58D2D-0E5C-447D-B7B3-020DE9D7B739}"/>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BA0421F8-A2EF-439A-A40A-2914763FA337}"/>
    <cellStyle name="Normal 5 5 3 3 2 3" xfId="12035" xr:uid="{3880B05C-1BEB-45DF-8559-88B206CD9B65}"/>
    <cellStyle name="Normal 5 5 3 3 3" xfId="5666" xr:uid="{00000000-0005-0000-0000-00007D1B0000}"/>
    <cellStyle name="Normal 5 5 3 3 3 2" xfId="14108" xr:uid="{48895F34-953F-48CE-BAB3-880AA97A77BF}"/>
    <cellStyle name="Normal 5 5 3 3 4" xfId="9890" xr:uid="{804C3577-B483-484D-94CA-36E38B6F7C21}"/>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BFBD0B27-7C8E-498B-AF2C-7ED9CF235EB7}"/>
    <cellStyle name="Normal 5 5 3 4 2 3" xfId="12448" xr:uid="{4B28D95B-B884-4767-A761-4E2315DC3F8E}"/>
    <cellStyle name="Normal 5 5 3 4 3" xfId="6079" xr:uid="{00000000-0005-0000-0000-0000811B0000}"/>
    <cellStyle name="Normal 5 5 3 4 3 2" xfId="14521" xr:uid="{BB01AB14-C681-4462-AE81-122338C1EDA3}"/>
    <cellStyle name="Normal 5 5 3 4 4" xfId="10303" xr:uid="{B66EA272-2FED-4A94-9AE7-29AD3800CA62}"/>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E0013911-3C56-4B16-86CE-3B36EBC290F9}"/>
    <cellStyle name="Normal 5 5 3 5 2 3" xfId="12861" xr:uid="{36C9CEA7-9557-474F-B606-672B790FCA19}"/>
    <cellStyle name="Normal 5 5 3 5 3" xfId="6492" xr:uid="{00000000-0005-0000-0000-0000851B0000}"/>
    <cellStyle name="Normal 5 5 3 5 3 2" xfId="14934" xr:uid="{18A2A4B6-8533-42E7-8F25-541904FDA9E8}"/>
    <cellStyle name="Normal 5 5 3 5 4" xfId="10716" xr:uid="{CF828E14-48CA-461D-B809-8B03F447ED64}"/>
    <cellStyle name="Normal 5 5 3 6" xfId="2621" xr:uid="{00000000-0005-0000-0000-0000861B0000}"/>
    <cellStyle name="Normal 5 5 3 6 2" xfId="6905" xr:uid="{00000000-0005-0000-0000-0000871B0000}"/>
    <cellStyle name="Normal 5 5 3 6 2 2" xfId="15347" xr:uid="{EB7BC17C-2102-42EE-9108-CC5DCC6F62EE}"/>
    <cellStyle name="Normal 5 5 3 6 3" xfId="11129" xr:uid="{1CD2887C-8499-4B5F-827A-50ACEEA02872}"/>
    <cellStyle name="Normal 5 5 3 7" xfId="4840" xr:uid="{00000000-0005-0000-0000-0000881B0000}"/>
    <cellStyle name="Normal 5 5 3 7 2" xfId="13282" xr:uid="{C8EE747A-64BF-42BA-8255-71BD53D1EC2D}"/>
    <cellStyle name="Normal 5 5 3 8" xfId="9064" xr:uid="{5A617FBA-E257-4FFD-9096-5E60B7C487E4}"/>
    <cellStyle name="Normal 5 5 4" xfId="938" xr:uid="{00000000-0005-0000-0000-0000891B0000}"/>
    <cellStyle name="Normal 5 5 4 2" xfId="3172" xr:uid="{00000000-0005-0000-0000-00008A1B0000}"/>
    <cellStyle name="Normal 5 5 4 2 2" xfId="7395" xr:uid="{00000000-0005-0000-0000-00008B1B0000}"/>
    <cellStyle name="Normal 5 5 4 2 2 2" xfId="15837" xr:uid="{FB8E9293-EC11-4D55-B534-F25B27C41B82}"/>
    <cellStyle name="Normal 5 5 4 2 3" xfId="11619" xr:uid="{ADA04650-C37F-4605-BB82-D34630EE5605}"/>
    <cellStyle name="Normal 5 5 4 3" xfId="5250" xr:uid="{00000000-0005-0000-0000-00008C1B0000}"/>
    <cellStyle name="Normal 5 5 4 3 2" xfId="13692" xr:uid="{99D2AB4D-0422-4764-ACA8-F5D2481E9FE5}"/>
    <cellStyle name="Normal 5 5 4 4" xfId="9474" xr:uid="{46B53D84-B658-4514-9182-B2CC17BF855C}"/>
    <cellStyle name="Normal 5 5 5" xfId="1355" xr:uid="{00000000-0005-0000-0000-00008D1B0000}"/>
    <cellStyle name="Normal 5 5 5 2" xfId="3585" xr:uid="{00000000-0005-0000-0000-00008E1B0000}"/>
    <cellStyle name="Normal 5 5 5 2 2" xfId="7808" xr:uid="{00000000-0005-0000-0000-00008F1B0000}"/>
    <cellStyle name="Normal 5 5 5 2 2 2" xfId="16250" xr:uid="{09B5E8E6-C509-4FB1-B5AC-896E7482DA0C}"/>
    <cellStyle name="Normal 5 5 5 2 3" xfId="12032" xr:uid="{588E4E1F-57B3-4413-9D2A-1E5D02A569F6}"/>
    <cellStyle name="Normal 5 5 5 3" xfId="5663" xr:uid="{00000000-0005-0000-0000-0000901B0000}"/>
    <cellStyle name="Normal 5 5 5 3 2" xfId="14105" xr:uid="{A3D91F46-E6C9-44EB-984A-D89B9DAB0B15}"/>
    <cellStyle name="Normal 5 5 5 4" xfId="9887" xr:uid="{D1D25B23-410E-405D-8D85-B1ACA09E446E}"/>
    <cellStyle name="Normal 5 5 6" xfId="1768" xr:uid="{00000000-0005-0000-0000-0000911B0000}"/>
    <cellStyle name="Normal 5 5 6 2" xfId="3998" xr:uid="{00000000-0005-0000-0000-0000921B0000}"/>
    <cellStyle name="Normal 5 5 6 2 2" xfId="8221" xr:uid="{00000000-0005-0000-0000-0000931B0000}"/>
    <cellStyle name="Normal 5 5 6 2 2 2" xfId="16663" xr:uid="{5F5111EC-9847-42BB-A5CC-3E5EFBDF2880}"/>
    <cellStyle name="Normal 5 5 6 2 3" xfId="12445" xr:uid="{EE06F197-09CE-4C75-B78B-CE80C2225A5E}"/>
    <cellStyle name="Normal 5 5 6 3" xfId="6076" xr:uid="{00000000-0005-0000-0000-0000941B0000}"/>
    <cellStyle name="Normal 5 5 6 3 2" xfId="14518" xr:uid="{8A4E050D-A724-4CCD-9D2A-693DF14C4792}"/>
    <cellStyle name="Normal 5 5 6 4" xfId="10300" xr:uid="{ED06094E-3333-4B83-BBE5-01AE5545CF00}"/>
    <cellStyle name="Normal 5 5 7" xfId="2182" xr:uid="{00000000-0005-0000-0000-0000951B0000}"/>
    <cellStyle name="Normal 5 5 7 2" xfId="4411" xr:uid="{00000000-0005-0000-0000-0000961B0000}"/>
    <cellStyle name="Normal 5 5 7 2 2" xfId="8634" xr:uid="{00000000-0005-0000-0000-0000971B0000}"/>
    <cellStyle name="Normal 5 5 7 2 2 2" xfId="17076" xr:uid="{FE34356D-35B4-4D21-9D2B-6FEE5029E280}"/>
    <cellStyle name="Normal 5 5 7 2 3" xfId="12858" xr:uid="{1F042921-9C82-486B-8AAE-BB99AA71DA8E}"/>
    <cellStyle name="Normal 5 5 7 3" xfId="6489" xr:uid="{00000000-0005-0000-0000-0000981B0000}"/>
    <cellStyle name="Normal 5 5 7 3 2" xfId="14931" xr:uid="{C1A0217F-936E-4A63-92FA-0CA4DEAEFD7B}"/>
    <cellStyle name="Normal 5 5 7 4" xfId="10713" xr:uid="{76F16254-C4FB-437D-99F9-9AB191D0BA85}"/>
    <cellStyle name="Normal 5 5 8" xfId="2618" xr:uid="{00000000-0005-0000-0000-0000991B0000}"/>
    <cellStyle name="Normal 5 5 8 2" xfId="6902" xr:uid="{00000000-0005-0000-0000-00009A1B0000}"/>
    <cellStyle name="Normal 5 5 8 2 2" xfId="15344" xr:uid="{244876D3-BD74-4BB4-B066-92399281A8F3}"/>
    <cellStyle name="Normal 5 5 8 3" xfId="11126" xr:uid="{78C84A77-D2C0-4BE6-AFAD-F14735C5903C}"/>
    <cellStyle name="Normal 5 5 9" xfId="4837" xr:uid="{00000000-0005-0000-0000-00009B1B0000}"/>
    <cellStyle name="Normal 5 5 9 2" xfId="13279" xr:uid="{432B333A-E4C2-4052-BD3B-5CD9BA0FF8B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41BBE251-A888-4530-B5C0-CCAC518BEC91}"/>
    <cellStyle name="Normal 5 6 2 2 2 3" xfId="11624" xr:uid="{1B40A7D9-EB73-45F0-BCA0-5A18C5B16E6B}"/>
    <cellStyle name="Normal 5 6 2 2 3" xfId="5255" xr:uid="{00000000-0005-0000-0000-0000A11B0000}"/>
    <cellStyle name="Normal 5 6 2 2 3 2" xfId="13697" xr:uid="{2B4D0B14-9C2D-4826-9372-48D750B4DF5D}"/>
    <cellStyle name="Normal 5 6 2 2 4" xfId="9479" xr:uid="{BC8B2616-9466-4FC8-8D2E-F328FDB78DEA}"/>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2421FF2B-EFF7-4353-AC0A-F5BCB424B630}"/>
    <cellStyle name="Normal 5 6 2 3 2 3" xfId="12037" xr:uid="{A77CBAFC-708A-4884-8F5A-15EF35DB8A8E}"/>
    <cellStyle name="Normal 5 6 2 3 3" xfId="5668" xr:uid="{00000000-0005-0000-0000-0000A51B0000}"/>
    <cellStyle name="Normal 5 6 2 3 3 2" xfId="14110" xr:uid="{469D1623-0BB7-4EDE-8E91-75E19EB27DC7}"/>
    <cellStyle name="Normal 5 6 2 3 4" xfId="9892" xr:uid="{9095A9EE-0A23-4AAE-A867-41F422FD6E74}"/>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8680AC8F-2D16-4CC2-B828-6AA27CF70515}"/>
    <cellStyle name="Normal 5 6 2 4 2 3" xfId="12450" xr:uid="{136DCB6A-BEB1-47C1-9003-8AC3946C1869}"/>
    <cellStyle name="Normal 5 6 2 4 3" xfId="6081" xr:uid="{00000000-0005-0000-0000-0000A91B0000}"/>
    <cellStyle name="Normal 5 6 2 4 3 2" xfId="14523" xr:uid="{BC110C89-D2B5-47A8-A162-CC1036E37C32}"/>
    <cellStyle name="Normal 5 6 2 4 4" xfId="10305" xr:uid="{EDAA0C0E-9BC1-4B2A-A3F9-5F167441BC7E}"/>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F789C71C-5B6F-4CDF-9216-2B3B6A430A88}"/>
    <cellStyle name="Normal 5 6 2 5 2 3" xfId="12863" xr:uid="{E078A860-5336-44AA-8BA5-72FB9DB2D782}"/>
    <cellStyle name="Normal 5 6 2 5 3" xfId="6494" xr:uid="{00000000-0005-0000-0000-0000AD1B0000}"/>
    <cellStyle name="Normal 5 6 2 5 3 2" xfId="14936" xr:uid="{64373283-7021-40D5-B3B5-09503714FD88}"/>
    <cellStyle name="Normal 5 6 2 5 4" xfId="10718" xr:uid="{42E5F8A4-8BB3-494D-B839-D66D72DFE8D5}"/>
    <cellStyle name="Normal 5 6 2 6" xfId="2623" xr:uid="{00000000-0005-0000-0000-0000AE1B0000}"/>
    <cellStyle name="Normal 5 6 2 6 2" xfId="6907" xr:uid="{00000000-0005-0000-0000-0000AF1B0000}"/>
    <cellStyle name="Normal 5 6 2 6 2 2" xfId="15349" xr:uid="{8A1B53D2-2570-4D07-8F73-29AC2CB6305F}"/>
    <cellStyle name="Normal 5 6 2 6 3" xfId="11131" xr:uid="{044F73FA-FFC3-4948-B5FC-EC4A6DAF567C}"/>
    <cellStyle name="Normal 5 6 2 7" xfId="4842" xr:uid="{00000000-0005-0000-0000-0000B01B0000}"/>
    <cellStyle name="Normal 5 6 2 7 2" xfId="13284" xr:uid="{A4A9AD29-6B96-422F-97A2-FFB156C88BC4}"/>
    <cellStyle name="Normal 5 6 2 8" xfId="9066" xr:uid="{FAE978E7-0EC1-40FD-A7B0-2AE6CD1D110F}"/>
    <cellStyle name="Normal 5 6 3" xfId="942" xr:uid="{00000000-0005-0000-0000-0000B11B0000}"/>
    <cellStyle name="Normal 5 6 3 2" xfId="3176" xr:uid="{00000000-0005-0000-0000-0000B21B0000}"/>
    <cellStyle name="Normal 5 6 3 2 2" xfId="7399" xr:uid="{00000000-0005-0000-0000-0000B31B0000}"/>
    <cellStyle name="Normal 5 6 3 2 2 2" xfId="15841" xr:uid="{2C3E0D88-A7A5-4301-B37E-5B49220C359C}"/>
    <cellStyle name="Normal 5 6 3 2 3" xfId="11623" xr:uid="{BC6ACF92-E1EB-4A22-96CA-F669503FCE17}"/>
    <cellStyle name="Normal 5 6 3 3" xfId="5254" xr:uid="{00000000-0005-0000-0000-0000B41B0000}"/>
    <cellStyle name="Normal 5 6 3 3 2" xfId="13696" xr:uid="{EC349B8A-1C0D-47EB-975A-84099846EF99}"/>
    <cellStyle name="Normal 5 6 3 4" xfId="9478" xr:uid="{4745F043-D0DA-40AD-B3CC-F9E1D0E7C1E6}"/>
    <cellStyle name="Normal 5 6 4" xfId="1359" xr:uid="{00000000-0005-0000-0000-0000B51B0000}"/>
    <cellStyle name="Normal 5 6 4 2" xfId="3589" xr:uid="{00000000-0005-0000-0000-0000B61B0000}"/>
    <cellStyle name="Normal 5 6 4 2 2" xfId="7812" xr:uid="{00000000-0005-0000-0000-0000B71B0000}"/>
    <cellStyle name="Normal 5 6 4 2 2 2" xfId="16254" xr:uid="{16F628B3-6D51-4BE1-8CFB-A7EE356F0A72}"/>
    <cellStyle name="Normal 5 6 4 2 3" xfId="12036" xr:uid="{8E1BA469-7A11-4113-B704-985D044B3717}"/>
    <cellStyle name="Normal 5 6 4 3" xfId="5667" xr:uid="{00000000-0005-0000-0000-0000B81B0000}"/>
    <cellStyle name="Normal 5 6 4 3 2" xfId="14109" xr:uid="{CD188DD1-5D6F-4207-BADF-D37F25571E8E}"/>
    <cellStyle name="Normal 5 6 4 4" xfId="9891" xr:uid="{12FD4951-2048-42B6-A76D-822CFF9424E3}"/>
    <cellStyle name="Normal 5 6 5" xfId="1772" xr:uid="{00000000-0005-0000-0000-0000B91B0000}"/>
    <cellStyle name="Normal 5 6 5 2" xfId="4002" xr:uid="{00000000-0005-0000-0000-0000BA1B0000}"/>
    <cellStyle name="Normal 5 6 5 2 2" xfId="8225" xr:uid="{00000000-0005-0000-0000-0000BB1B0000}"/>
    <cellStyle name="Normal 5 6 5 2 2 2" xfId="16667" xr:uid="{543DD582-4954-4696-B512-B8A58C577888}"/>
    <cellStyle name="Normal 5 6 5 2 3" xfId="12449" xr:uid="{68518E99-6B70-4A8B-89E4-0F95E9D76B49}"/>
    <cellStyle name="Normal 5 6 5 3" xfId="6080" xr:uid="{00000000-0005-0000-0000-0000BC1B0000}"/>
    <cellStyle name="Normal 5 6 5 3 2" xfId="14522" xr:uid="{8B83B034-0ABE-4E07-92B3-64E4C82D3434}"/>
    <cellStyle name="Normal 5 6 5 4" xfId="10304" xr:uid="{56E46C72-F019-482C-A927-352666FC311E}"/>
    <cellStyle name="Normal 5 6 6" xfId="2186" xr:uid="{00000000-0005-0000-0000-0000BD1B0000}"/>
    <cellStyle name="Normal 5 6 6 2" xfId="4415" xr:uid="{00000000-0005-0000-0000-0000BE1B0000}"/>
    <cellStyle name="Normal 5 6 6 2 2" xfId="8638" xr:uid="{00000000-0005-0000-0000-0000BF1B0000}"/>
    <cellStyle name="Normal 5 6 6 2 2 2" xfId="17080" xr:uid="{B7661B5D-B20E-4808-8084-E544CC68E7F5}"/>
    <cellStyle name="Normal 5 6 6 2 3" xfId="12862" xr:uid="{EEFB1758-8208-4E25-9E79-6AF4EF3A122F}"/>
    <cellStyle name="Normal 5 6 6 3" xfId="6493" xr:uid="{00000000-0005-0000-0000-0000C01B0000}"/>
    <cellStyle name="Normal 5 6 6 3 2" xfId="14935" xr:uid="{ECD9C27D-5471-4E33-83BE-293DD5662BCB}"/>
    <cellStyle name="Normal 5 6 6 4" xfId="10717" xr:uid="{285B8036-6F5F-4B9E-9F02-25BA42FF5E6C}"/>
    <cellStyle name="Normal 5 6 7" xfId="2622" xr:uid="{00000000-0005-0000-0000-0000C11B0000}"/>
    <cellStyle name="Normal 5 6 7 2" xfId="6906" xr:uid="{00000000-0005-0000-0000-0000C21B0000}"/>
    <cellStyle name="Normal 5 6 7 2 2" xfId="15348" xr:uid="{DF0835B5-3576-4660-B816-CC75443C93A5}"/>
    <cellStyle name="Normal 5 6 7 3" xfId="11130" xr:uid="{63FC64D4-A8D1-4228-9A75-F7AFC79511E8}"/>
    <cellStyle name="Normal 5 6 8" xfId="4841" xr:uid="{00000000-0005-0000-0000-0000C31B0000}"/>
    <cellStyle name="Normal 5 6 8 2" xfId="13283" xr:uid="{738E15BA-B578-4561-A012-CBCE4F5CE6D8}"/>
    <cellStyle name="Normal 5 6 9" xfId="9065" xr:uid="{5FDB1791-13ED-4040-9CEA-C61539FBF49A}"/>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E6DDFA67-4654-4490-AE6F-F87543CEFED9}"/>
    <cellStyle name="Normal 5 7 2 2 3" xfId="11625" xr:uid="{477E4194-357E-418A-AD71-AD7231C44A81}"/>
    <cellStyle name="Normal 5 7 2 3" xfId="5256" xr:uid="{00000000-0005-0000-0000-0000C81B0000}"/>
    <cellStyle name="Normal 5 7 2 3 2" xfId="13698" xr:uid="{7B276086-D760-41BD-8417-94E3FCC24497}"/>
    <cellStyle name="Normal 5 7 2 4" xfId="9480" xr:uid="{B224B1D4-16CF-4E95-828B-E8F2E85308DB}"/>
    <cellStyle name="Normal 5 7 3" xfId="1361" xr:uid="{00000000-0005-0000-0000-0000C91B0000}"/>
    <cellStyle name="Normal 5 7 3 2" xfId="3591" xr:uid="{00000000-0005-0000-0000-0000CA1B0000}"/>
    <cellStyle name="Normal 5 7 3 2 2" xfId="7814" xr:uid="{00000000-0005-0000-0000-0000CB1B0000}"/>
    <cellStyle name="Normal 5 7 3 2 2 2" xfId="16256" xr:uid="{EA0DE40B-1702-4A1F-BFC1-3A9A1106A1C8}"/>
    <cellStyle name="Normal 5 7 3 2 3" xfId="12038" xr:uid="{802F24F5-7ED5-49DE-8F97-0A963568F0A0}"/>
    <cellStyle name="Normal 5 7 3 3" xfId="5669" xr:uid="{00000000-0005-0000-0000-0000CC1B0000}"/>
    <cellStyle name="Normal 5 7 3 3 2" xfId="14111" xr:uid="{1726FC3B-A584-46F3-B338-6C912D24FC44}"/>
    <cellStyle name="Normal 5 7 3 4" xfId="9893" xr:uid="{A2280FAD-AFD4-4B1A-8A5F-7003FC35DE0D}"/>
    <cellStyle name="Normal 5 7 4" xfId="1774" xr:uid="{00000000-0005-0000-0000-0000CD1B0000}"/>
    <cellStyle name="Normal 5 7 4 2" xfId="4004" xr:uid="{00000000-0005-0000-0000-0000CE1B0000}"/>
    <cellStyle name="Normal 5 7 4 2 2" xfId="8227" xr:uid="{00000000-0005-0000-0000-0000CF1B0000}"/>
    <cellStyle name="Normal 5 7 4 2 2 2" xfId="16669" xr:uid="{15367CA3-5231-4BA4-A5BE-9CFB98FE7D96}"/>
    <cellStyle name="Normal 5 7 4 2 3" xfId="12451" xr:uid="{BC169BC1-B0B3-4F0E-B727-E7B353D87A31}"/>
    <cellStyle name="Normal 5 7 4 3" xfId="6082" xr:uid="{00000000-0005-0000-0000-0000D01B0000}"/>
    <cellStyle name="Normal 5 7 4 3 2" xfId="14524" xr:uid="{AF859B60-AEBB-422B-926E-F72981FDD719}"/>
    <cellStyle name="Normal 5 7 4 4" xfId="10306" xr:uid="{099FC829-B163-4DB2-96C5-07AADC759DE8}"/>
    <cellStyle name="Normal 5 7 5" xfId="2188" xr:uid="{00000000-0005-0000-0000-0000D11B0000}"/>
    <cellStyle name="Normal 5 7 5 2" xfId="4417" xr:uid="{00000000-0005-0000-0000-0000D21B0000}"/>
    <cellStyle name="Normal 5 7 5 2 2" xfId="8640" xr:uid="{00000000-0005-0000-0000-0000D31B0000}"/>
    <cellStyle name="Normal 5 7 5 2 2 2" xfId="17082" xr:uid="{639C77C5-FE28-4CE9-BF2F-9B00D35D1649}"/>
    <cellStyle name="Normal 5 7 5 2 3" xfId="12864" xr:uid="{5ED32B05-3088-45B7-8F60-56CC4EDA2560}"/>
    <cellStyle name="Normal 5 7 5 3" xfId="6495" xr:uid="{00000000-0005-0000-0000-0000D41B0000}"/>
    <cellStyle name="Normal 5 7 5 3 2" xfId="14937" xr:uid="{1FECFB3F-B577-478C-82A8-A6F2BDC978D0}"/>
    <cellStyle name="Normal 5 7 5 4" xfId="10719" xr:uid="{DD026386-5A53-4743-8CB7-03B049FEDE3B}"/>
    <cellStyle name="Normal 5 7 6" xfId="2624" xr:uid="{00000000-0005-0000-0000-0000D51B0000}"/>
    <cellStyle name="Normal 5 7 6 2" xfId="6908" xr:uid="{00000000-0005-0000-0000-0000D61B0000}"/>
    <cellStyle name="Normal 5 7 6 2 2" xfId="15350" xr:uid="{341FBD42-DEAD-4E84-8196-D7B2179D5673}"/>
    <cellStyle name="Normal 5 7 6 3" xfId="11132" xr:uid="{CFFD33FF-0558-4155-A06D-BD1016DF75C9}"/>
    <cellStyle name="Normal 5 7 7" xfId="4843" xr:uid="{00000000-0005-0000-0000-0000D71B0000}"/>
    <cellStyle name="Normal 5 7 7 2" xfId="13285" xr:uid="{2C59B640-DD3C-4652-A900-DE107A25DC2F}"/>
    <cellStyle name="Normal 5 7 8" xfId="9067" xr:uid="{7D28E520-CF1B-45E2-B600-764C52A47699}"/>
    <cellStyle name="Normal 5 8" xfId="880" xr:uid="{00000000-0005-0000-0000-0000D81B0000}"/>
    <cellStyle name="Normal 5 8 2" xfId="3115" xr:uid="{00000000-0005-0000-0000-0000D91B0000}"/>
    <cellStyle name="Normal 5 8 2 2" xfId="7338" xr:uid="{00000000-0005-0000-0000-0000DA1B0000}"/>
    <cellStyle name="Normal 5 8 2 2 2" xfId="15780" xr:uid="{8A791CA6-8B5A-41BA-8E8E-41E8B1EB7AEE}"/>
    <cellStyle name="Normal 5 8 2 3" xfId="11562" xr:uid="{83621881-388B-4288-9227-B00795BD9FB9}"/>
    <cellStyle name="Normal 5 8 3" xfId="5193" xr:uid="{00000000-0005-0000-0000-0000DB1B0000}"/>
    <cellStyle name="Normal 5 8 3 2" xfId="13635" xr:uid="{D29AF257-9851-4D90-956B-ABD79F343EA8}"/>
    <cellStyle name="Normal 5 8 4" xfId="9417" xr:uid="{BC76FD64-83A7-42CB-81A5-3A4D0C58F559}"/>
    <cellStyle name="Normal 5 9" xfId="1298" xr:uid="{00000000-0005-0000-0000-0000DC1B0000}"/>
    <cellStyle name="Normal 5 9 2" xfId="3528" xr:uid="{00000000-0005-0000-0000-0000DD1B0000}"/>
    <cellStyle name="Normal 5 9 2 2" xfId="7751" xr:uid="{00000000-0005-0000-0000-0000DE1B0000}"/>
    <cellStyle name="Normal 5 9 2 2 2" xfId="16193" xr:uid="{E4F2CCB8-54AA-4027-8138-FACA08682AB9}"/>
    <cellStyle name="Normal 5 9 2 3" xfId="11975" xr:uid="{E7F90A0A-3B6C-43B1-934F-0155B98C7984}"/>
    <cellStyle name="Normal 5 9 3" xfId="5606" xr:uid="{00000000-0005-0000-0000-0000DF1B0000}"/>
    <cellStyle name="Normal 5 9 3 2" xfId="14048" xr:uid="{6623EE4C-7D40-45D0-B37A-BF1ED4E8600F}"/>
    <cellStyle name="Normal 5 9 4" xfId="9830" xr:uid="{2EF369FE-38E9-48BE-BC99-49E420A469AB}"/>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8C762B3D-237D-403E-8E1E-D6B6507C07C5}"/>
    <cellStyle name="Normal 8 10 2 3" xfId="12865" xr:uid="{ED8F0B88-C285-414C-978A-C3542CDD27AA}"/>
    <cellStyle name="Normal 8 10 3" xfId="6496" xr:uid="{00000000-0005-0000-0000-0000EB1B0000}"/>
    <cellStyle name="Normal 8 10 3 2" xfId="14938" xr:uid="{8FE60757-8D69-41AD-982E-9F6E62D1FE4A}"/>
    <cellStyle name="Normal 8 10 4" xfId="10720" xr:uid="{186B36A9-4269-493E-9C46-BC82117EA4DE}"/>
    <cellStyle name="Normal 8 11" xfId="2625" xr:uid="{00000000-0005-0000-0000-0000EC1B0000}"/>
    <cellStyle name="Normal 8 11 2" xfId="6909" xr:uid="{00000000-0005-0000-0000-0000ED1B0000}"/>
    <cellStyle name="Normal 8 11 2 2" xfId="15351" xr:uid="{B7AC6EA9-477F-4868-8CD8-789BEB8828C5}"/>
    <cellStyle name="Normal 8 11 3" xfId="11133" xr:uid="{4703707F-273A-4954-9C43-EB72FB091880}"/>
    <cellStyle name="Normal 8 12" xfId="4844" xr:uid="{00000000-0005-0000-0000-0000EE1B0000}"/>
    <cellStyle name="Normal 8 12 2" xfId="13286" xr:uid="{5AFC057B-5CE7-4A66-B994-B15EBFF09989}"/>
    <cellStyle name="Normal 8 13" xfId="9068" xr:uid="{2CDCF0C8-B839-4FA7-9E07-031F73E45A92}"/>
    <cellStyle name="Normal 8 2" xfId="479" xr:uid="{00000000-0005-0000-0000-0000EF1B0000}"/>
    <cellStyle name="Normal 8 2 10" xfId="2626" xr:uid="{00000000-0005-0000-0000-0000F01B0000}"/>
    <cellStyle name="Normal 8 2 10 2" xfId="6910" xr:uid="{00000000-0005-0000-0000-0000F11B0000}"/>
    <cellStyle name="Normal 8 2 10 2 2" xfId="15352" xr:uid="{98923FB5-6896-4CF2-AF34-FBE63C51F364}"/>
    <cellStyle name="Normal 8 2 10 3" xfId="11134" xr:uid="{E7A82DA0-02D4-4547-B1C8-2E145C10E1DB}"/>
    <cellStyle name="Normal 8 2 11" xfId="4845" xr:uid="{00000000-0005-0000-0000-0000F21B0000}"/>
    <cellStyle name="Normal 8 2 11 2" xfId="13287" xr:uid="{2C4D4EA4-868D-4B14-BD44-F3AE0480063D}"/>
    <cellStyle name="Normal 8 2 12" xfId="9069" xr:uid="{29E5C8AF-7B13-4025-B249-F5EFD20DFDC6}"/>
    <cellStyle name="Normal 8 2 2" xfId="480" xr:uid="{00000000-0005-0000-0000-0000F31B0000}"/>
    <cellStyle name="Normal 8 2 2 10" xfId="4846" xr:uid="{00000000-0005-0000-0000-0000F41B0000}"/>
    <cellStyle name="Normal 8 2 2 10 2" xfId="13288" xr:uid="{5CD116F1-9D7C-4F0E-B68E-CEF643D5BFE4}"/>
    <cellStyle name="Normal 8 2 2 11" xfId="9070" xr:uid="{AFDFAFDF-8121-4053-BD23-F97B33E49335}"/>
    <cellStyle name="Normal 8 2 2 2" xfId="481" xr:uid="{00000000-0005-0000-0000-0000F51B0000}"/>
    <cellStyle name="Normal 8 2 2 2 10" xfId="9071" xr:uid="{1A2C7CD3-E7A6-420F-9745-61CE4B27E951}"/>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D93FB6BF-277D-4C91-A395-BFEF2B4B118D}"/>
    <cellStyle name="Normal 8 2 2 2 2 2 2 2 3" xfId="11631" xr:uid="{5E978523-1539-4264-BAC1-37738AEA2B93}"/>
    <cellStyle name="Normal 8 2 2 2 2 2 2 3" xfId="5262" xr:uid="{00000000-0005-0000-0000-0000FB1B0000}"/>
    <cellStyle name="Normal 8 2 2 2 2 2 2 3 2" xfId="13704" xr:uid="{7FA54A98-6D57-4B20-BC75-476526F7DA15}"/>
    <cellStyle name="Normal 8 2 2 2 2 2 2 4" xfId="9486" xr:uid="{C7C3BCA0-6FDE-47BA-B6AC-166FBB5D9A4F}"/>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F76EB105-138F-4301-8CDB-C92ED5DE55FD}"/>
    <cellStyle name="Normal 8 2 2 2 2 2 3 2 3" xfId="12044" xr:uid="{40A169D7-4CDA-454C-BE72-B1CD6F4D9AB0}"/>
    <cellStyle name="Normal 8 2 2 2 2 2 3 3" xfId="5675" xr:uid="{00000000-0005-0000-0000-0000FF1B0000}"/>
    <cellStyle name="Normal 8 2 2 2 2 2 3 3 2" xfId="14117" xr:uid="{34DFA7BA-FA2A-491A-AF60-FAFCAC3FBAC5}"/>
    <cellStyle name="Normal 8 2 2 2 2 2 3 4" xfId="9899" xr:uid="{69248BD5-B7A9-4B11-9C74-E23C2E3A560E}"/>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494925D0-9DA4-461E-9F4D-74F9E9B69C97}"/>
    <cellStyle name="Normal 8 2 2 2 2 2 4 2 3" xfId="12457" xr:uid="{310C5B81-5A09-40F1-84C7-AB4015BCD878}"/>
    <cellStyle name="Normal 8 2 2 2 2 2 4 3" xfId="6088" xr:uid="{00000000-0005-0000-0000-0000031C0000}"/>
    <cellStyle name="Normal 8 2 2 2 2 2 4 3 2" xfId="14530" xr:uid="{1CC97710-72F9-4EBC-8645-38F84CC2D5E4}"/>
    <cellStyle name="Normal 8 2 2 2 2 2 4 4" xfId="10312" xr:uid="{F47E6D77-A369-44F7-956F-C3AB54DA528F}"/>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B8976CA1-A399-4BCB-9852-4A381B502051}"/>
    <cellStyle name="Normal 8 2 2 2 2 2 5 2 3" xfId="12870" xr:uid="{E09550F9-9B18-42F7-B302-1461C00D9894}"/>
    <cellStyle name="Normal 8 2 2 2 2 2 5 3" xfId="6501" xr:uid="{00000000-0005-0000-0000-0000071C0000}"/>
    <cellStyle name="Normal 8 2 2 2 2 2 5 3 2" xfId="14943" xr:uid="{0CCCCA0F-723C-4EEE-ABED-2B9852EBDAC4}"/>
    <cellStyle name="Normal 8 2 2 2 2 2 5 4" xfId="10725" xr:uid="{BA358F80-BEC8-46DD-9F7A-5DEB7E210EF4}"/>
    <cellStyle name="Normal 8 2 2 2 2 2 6" xfId="2630" xr:uid="{00000000-0005-0000-0000-0000081C0000}"/>
    <cellStyle name="Normal 8 2 2 2 2 2 6 2" xfId="6914" xr:uid="{00000000-0005-0000-0000-0000091C0000}"/>
    <cellStyle name="Normal 8 2 2 2 2 2 6 2 2" xfId="15356" xr:uid="{E7BB4158-025D-4ECE-AE25-DEC417022F6E}"/>
    <cellStyle name="Normal 8 2 2 2 2 2 6 3" xfId="11138" xr:uid="{FB97A547-7F41-41F7-93EA-61970C77E5F5}"/>
    <cellStyle name="Normal 8 2 2 2 2 2 7" xfId="4849" xr:uid="{00000000-0005-0000-0000-00000A1C0000}"/>
    <cellStyle name="Normal 8 2 2 2 2 2 7 2" xfId="13291" xr:uid="{5D900CEE-18FB-4797-A6F5-4ED058FAD9AC}"/>
    <cellStyle name="Normal 8 2 2 2 2 2 8" xfId="9073" xr:uid="{CFE49078-8FDD-4250-9F3C-CBAB224F157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587AB13E-71D3-4D16-B728-574885321842}"/>
    <cellStyle name="Normal 8 2 2 2 2 3 2 3" xfId="11630" xr:uid="{752C2781-60D1-46A5-A13D-1B2EC8E1CCE4}"/>
    <cellStyle name="Normal 8 2 2 2 2 3 3" xfId="5261" xr:uid="{00000000-0005-0000-0000-00000E1C0000}"/>
    <cellStyle name="Normal 8 2 2 2 2 3 3 2" xfId="13703" xr:uid="{012AABF3-7AB7-48C2-9E80-E50CF9C0C627}"/>
    <cellStyle name="Normal 8 2 2 2 2 3 4" xfId="9485" xr:uid="{6B8AB675-5879-403E-91B8-7228EB8658CC}"/>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35D57986-BA97-4F7D-BE6D-9B9399661440}"/>
    <cellStyle name="Normal 8 2 2 2 2 4 2 3" xfId="12043" xr:uid="{847C1800-E7B3-460D-90C9-274B10F6E8AA}"/>
    <cellStyle name="Normal 8 2 2 2 2 4 3" xfId="5674" xr:uid="{00000000-0005-0000-0000-0000121C0000}"/>
    <cellStyle name="Normal 8 2 2 2 2 4 3 2" xfId="14116" xr:uid="{ED31CC82-9F64-4B63-A788-286212AE3A99}"/>
    <cellStyle name="Normal 8 2 2 2 2 4 4" xfId="9898" xr:uid="{18F10550-71D4-4937-BC56-D892EAE3013C}"/>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E99F4A02-1BC0-4E79-8B46-3D86C44E3135}"/>
    <cellStyle name="Normal 8 2 2 2 2 5 2 3" xfId="12456" xr:uid="{FA1D9E9B-EF1F-4787-AF0A-E372513CEB36}"/>
    <cellStyle name="Normal 8 2 2 2 2 5 3" xfId="6087" xr:uid="{00000000-0005-0000-0000-0000161C0000}"/>
    <cellStyle name="Normal 8 2 2 2 2 5 3 2" xfId="14529" xr:uid="{838DCAA1-41A0-4832-A4F3-6A033EC9DC36}"/>
    <cellStyle name="Normal 8 2 2 2 2 5 4" xfId="10311" xr:uid="{A0AB0789-A8AD-4E6F-97AF-2F59B6E7B29B}"/>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CD579FE6-1EA2-41A8-A4C4-C82EC1296964}"/>
    <cellStyle name="Normal 8 2 2 2 2 6 2 3" xfId="12869" xr:uid="{AC00AD83-DD1A-4684-8F07-BB1F7EC6F6E3}"/>
    <cellStyle name="Normal 8 2 2 2 2 6 3" xfId="6500" xr:uid="{00000000-0005-0000-0000-00001A1C0000}"/>
    <cellStyle name="Normal 8 2 2 2 2 6 3 2" xfId="14942" xr:uid="{7485A67C-BDB0-4487-93D4-9D2F9CDDFAF8}"/>
    <cellStyle name="Normal 8 2 2 2 2 6 4" xfId="10724" xr:uid="{D228BFE7-BDF5-4A77-9FB4-131C1E288584}"/>
    <cellStyle name="Normal 8 2 2 2 2 7" xfId="2629" xr:uid="{00000000-0005-0000-0000-00001B1C0000}"/>
    <cellStyle name="Normal 8 2 2 2 2 7 2" xfId="6913" xr:uid="{00000000-0005-0000-0000-00001C1C0000}"/>
    <cellStyle name="Normal 8 2 2 2 2 7 2 2" xfId="15355" xr:uid="{EF3386E5-E21D-433A-8DF5-9C26019E39BE}"/>
    <cellStyle name="Normal 8 2 2 2 2 7 3" xfId="11137" xr:uid="{B92D12AF-6017-4447-A7F3-758835D4FF1B}"/>
    <cellStyle name="Normal 8 2 2 2 2 8" xfId="4848" xr:uid="{00000000-0005-0000-0000-00001D1C0000}"/>
    <cellStyle name="Normal 8 2 2 2 2 8 2" xfId="13290" xr:uid="{3EA7793D-C7BE-4CDD-8D59-E2DE8350A866}"/>
    <cellStyle name="Normal 8 2 2 2 2 9" xfId="9072" xr:uid="{47F6EAA2-DF87-4AF2-BFEF-E15E96C7EE3F}"/>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BD7A8048-EBDA-4365-9AC2-594023C5F00E}"/>
    <cellStyle name="Normal 8 2 2 2 3 2 2 3" xfId="11632" xr:uid="{EA72A8BE-F146-4FB1-BA9E-7CD37C92B089}"/>
    <cellStyle name="Normal 8 2 2 2 3 2 3" xfId="5263" xr:uid="{00000000-0005-0000-0000-0000221C0000}"/>
    <cellStyle name="Normal 8 2 2 2 3 2 3 2" xfId="13705" xr:uid="{A62F6F39-1427-4363-91AF-8C589968CA04}"/>
    <cellStyle name="Normal 8 2 2 2 3 2 4" xfId="9487" xr:uid="{D3BC5BB2-4704-414E-B70D-1626E4970965}"/>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5795DD66-8BB0-4D0D-BAA7-9CBAFEC209A8}"/>
    <cellStyle name="Normal 8 2 2 2 3 3 2 3" xfId="12045" xr:uid="{B4D7BE5E-265B-4DF7-A015-C340143B473D}"/>
    <cellStyle name="Normal 8 2 2 2 3 3 3" xfId="5676" xr:uid="{00000000-0005-0000-0000-0000261C0000}"/>
    <cellStyle name="Normal 8 2 2 2 3 3 3 2" xfId="14118" xr:uid="{C560D93D-704B-4B7C-A3AA-E5F60DA5A2DB}"/>
    <cellStyle name="Normal 8 2 2 2 3 3 4" xfId="9900" xr:uid="{3BAFD4E8-7F12-4F4B-A2A4-0C0AF07CB3CB}"/>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9A720EC0-D052-4CCA-AF20-E7E148CEEBFD}"/>
    <cellStyle name="Normal 8 2 2 2 3 4 2 3" xfId="12458" xr:uid="{450D3736-A88A-428E-ACE0-499A599C1F7F}"/>
    <cellStyle name="Normal 8 2 2 2 3 4 3" xfId="6089" xr:uid="{00000000-0005-0000-0000-00002A1C0000}"/>
    <cellStyle name="Normal 8 2 2 2 3 4 3 2" xfId="14531" xr:uid="{6E9F397E-E73A-457D-8894-1076C6F2296E}"/>
    <cellStyle name="Normal 8 2 2 2 3 4 4" xfId="10313" xr:uid="{A3C76136-65A3-4421-A181-0649A791DF81}"/>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C3687D41-847A-417B-94D2-5DCF24EDE421}"/>
    <cellStyle name="Normal 8 2 2 2 3 5 2 3" xfId="12871" xr:uid="{D77F4DA6-F1B5-4459-956C-6EC64F5CC74F}"/>
    <cellStyle name="Normal 8 2 2 2 3 5 3" xfId="6502" xr:uid="{00000000-0005-0000-0000-00002E1C0000}"/>
    <cellStyle name="Normal 8 2 2 2 3 5 3 2" xfId="14944" xr:uid="{A7B25BBD-DF8E-40EE-ABC4-A030CCE860ED}"/>
    <cellStyle name="Normal 8 2 2 2 3 5 4" xfId="10726" xr:uid="{BC2EC98A-D15D-48A3-88BB-CD1F524E8A4F}"/>
    <cellStyle name="Normal 8 2 2 2 3 6" xfId="2631" xr:uid="{00000000-0005-0000-0000-00002F1C0000}"/>
    <cellStyle name="Normal 8 2 2 2 3 6 2" xfId="6915" xr:uid="{00000000-0005-0000-0000-0000301C0000}"/>
    <cellStyle name="Normal 8 2 2 2 3 6 2 2" xfId="15357" xr:uid="{9B432EB6-76E3-40F0-9AD9-EE5F8BDE5B0C}"/>
    <cellStyle name="Normal 8 2 2 2 3 6 3" xfId="11139" xr:uid="{8D553012-AD4E-49E6-B3A7-9464803BF02E}"/>
    <cellStyle name="Normal 8 2 2 2 3 7" xfId="4850" xr:uid="{00000000-0005-0000-0000-0000311C0000}"/>
    <cellStyle name="Normal 8 2 2 2 3 7 2" xfId="13292" xr:uid="{5AD94EF3-153A-4D1D-8ECC-7C7FFF61DF87}"/>
    <cellStyle name="Normal 8 2 2 2 3 8" xfId="9074" xr:uid="{22F38148-517C-4004-9DEF-B8BFDDD6CA0F}"/>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E8CF7262-4090-47F4-B3FE-218CDE403707}"/>
    <cellStyle name="Normal 8 2 2 2 4 2 3" xfId="11629" xr:uid="{9F64BF48-7CEA-4669-BA7B-D406A5567178}"/>
    <cellStyle name="Normal 8 2 2 2 4 3" xfId="5260" xr:uid="{00000000-0005-0000-0000-0000351C0000}"/>
    <cellStyle name="Normal 8 2 2 2 4 3 2" xfId="13702" xr:uid="{08B9E628-EFA6-45CE-A2A6-CC50A0E7FA1B}"/>
    <cellStyle name="Normal 8 2 2 2 4 4" xfId="9484" xr:uid="{6198899D-F5BE-48A2-83C8-1086134AAEAA}"/>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D200A60D-66A4-42BB-BE04-22CF8703A4D1}"/>
    <cellStyle name="Normal 8 2 2 2 5 2 3" xfId="12042" xr:uid="{32D1FFCF-8B86-48B9-A56A-DD2952E1CE84}"/>
    <cellStyle name="Normal 8 2 2 2 5 3" xfId="5673" xr:uid="{00000000-0005-0000-0000-0000391C0000}"/>
    <cellStyle name="Normal 8 2 2 2 5 3 2" xfId="14115" xr:uid="{C17A0857-2982-417B-80A8-0C966D949ADB}"/>
    <cellStyle name="Normal 8 2 2 2 5 4" xfId="9897" xr:uid="{79A0DD1B-CE4C-4FB1-8D62-14BE453A2EC4}"/>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2E59850F-3A58-4011-8A12-F6A5C56CECD0}"/>
    <cellStyle name="Normal 8 2 2 2 6 2 3" xfId="12455" xr:uid="{02D8EC77-25FC-480B-8E8D-DDB456354479}"/>
    <cellStyle name="Normal 8 2 2 2 6 3" xfId="6086" xr:uid="{00000000-0005-0000-0000-00003D1C0000}"/>
    <cellStyle name="Normal 8 2 2 2 6 3 2" xfId="14528" xr:uid="{76FEF62B-D41C-47D1-99CD-502DAB408F6C}"/>
    <cellStyle name="Normal 8 2 2 2 6 4" xfId="10310" xr:uid="{8251B863-4BF5-4D02-8923-6AF7358B3140}"/>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22E1AF67-B81D-4187-93FE-26B79BFDA68D}"/>
    <cellStyle name="Normal 8 2 2 2 7 2 3" xfId="12868" xr:uid="{50431884-5AA4-45D7-80C8-20620BB48669}"/>
    <cellStyle name="Normal 8 2 2 2 7 3" xfId="6499" xr:uid="{00000000-0005-0000-0000-0000411C0000}"/>
    <cellStyle name="Normal 8 2 2 2 7 3 2" xfId="14941" xr:uid="{4A6DDBD1-F221-489B-927A-6EBC1FACE8C1}"/>
    <cellStyle name="Normal 8 2 2 2 7 4" xfId="10723" xr:uid="{F709B4F3-B62E-443A-AC96-FCC7B3ED545B}"/>
    <cellStyle name="Normal 8 2 2 2 8" xfId="2628" xr:uid="{00000000-0005-0000-0000-0000421C0000}"/>
    <cellStyle name="Normal 8 2 2 2 8 2" xfId="6912" xr:uid="{00000000-0005-0000-0000-0000431C0000}"/>
    <cellStyle name="Normal 8 2 2 2 8 2 2" xfId="15354" xr:uid="{0373EA5F-C2B3-4D06-A6FD-4231BD6F5C66}"/>
    <cellStyle name="Normal 8 2 2 2 8 3" xfId="11136" xr:uid="{297D1B2F-061D-4E59-9C84-0ADB4E9B0BC8}"/>
    <cellStyle name="Normal 8 2 2 2 9" xfId="4847" xr:uid="{00000000-0005-0000-0000-0000441C0000}"/>
    <cellStyle name="Normal 8 2 2 2 9 2" xfId="13289" xr:uid="{864D7DDD-CEFC-45FE-9FF6-64407D9A9A1F}"/>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8A39F279-8CD4-492D-849D-16E9DDE7EE13}"/>
    <cellStyle name="Normal 8 2 2 3 2 2 2 3" xfId="11634" xr:uid="{8EBEA650-0D8C-4C5A-A17C-5886F6423942}"/>
    <cellStyle name="Normal 8 2 2 3 2 2 3" xfId="5265" xr:uid="{00000000-0005-0000-0000-00004A1C0000}"/>
    <cellStyle name="Normal 8 2 2 3 2 2 3 2" xfId="13707" xr:uid="{FFEC5AC6-62B0-48C1-9910-B2D813851C5C}"/>
    <cellStyle name="Normal 8 2 2 3 2 2 4" xfId="9489" xr:uid="{73C0AF76-EAC2-4CCC-A516-B0271CE8851C}"/>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F33FD2B1-7F3C-480F-B511-617B63D8FB88}"/>
    <cellStyle name="Normal 8 2 2 3 2 3 2 3" xfId="12047" xr:uid="{50C94348-74FC-48EA-B8D7-930824DB22C8}"/>
    <cellStyle name="Normal 8 2 2 3 2 3 3" xfId="5678" xr:uid="{00000000-0005-0000-0000-00004E1C0000}"/>
    <cellStyle name="Normal 8 2 2 3 2 3 3 2" xfId="14120" xr:uid="{95850471-7A1F-41CF-935B-519CEA241E42}"/>
    <cellStyle name="Normal 8 2 2 3 2 3 4" xfId="9902" xr:uid="{B591AC56-34D4-4A32-9FEE-B3E1C03DCFEE}"/>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4769D5CA-5B39-4389-8946-72CCD8463751}"/>
    <cellStyle name="Normal 8 2 2 3 2 4 2 3" xfId="12460" xr:uid="{4843E5F0-B7E4-4631-8637-F6C08CCC57BF}"/>
    <cellStyle name="Normal 8 2 2 3 2 4 3" xfId="6091" xr:uid="{00000000-0005-0000-0000-0000521C0000}"/>
    <cellStyle name="Normal 8 2 2 3 2 4 3 2" xfId="14533" xr:uid="{C2F49090-B4C6-4AA9-A564-9B116B0438C8}"/>
    <cellStyle name="Normal 8 2 2 3 2 4 4" xfId="10315" xr:uid="{76139F21-78E0-4F9D-BE9C-379D727E99D2}"/>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08B07ABD-49DA-46B6-A10E-CB735F89AEDA}"/>
    <cellStyle name="Normal 8 2 2 3 2 5 2 3" xfId="12873" xr:uid="{D13E4480-5864-495E-8231-0E4F13F2EE0B}"/>
    <cellStyle name="Normal 8 2 2 3 2 5 3" xfId="6504" xr:uid="{00000000-0005-0000-0000-0000561C0000}"/>
    <cellStyle name="Normal 8 2 2 3 2 5 3 2" xfId="14946" xr:uid="{6951054B-43A8-4BF2-B403-847EEA153426}"/>
    <cellStyle name="Normal 8 2 2 3 2 5 4" xfId="10728" xr:uid="{733AA82C-A8E1-4B42-83CA-F203EE5D5ED6}"/>
    <cellStyle name="Normal 8 2 2 3 2 6" xfId="2633" xr:uid="{00000000-0005-0000-0000-0000571C0000}"/>
    <cellStyle name="Normal 8 2 2 3 2 6 2" xfId="6917" xr:uid="{00000000-0005-0000-0000-0000581C0000}"/>
    <cellStyle name="Normal 8 2 2 3 2 6 2 2" xfId="15359" xr:uid="{262564E7-AE17-4AA4-BCD5-5E30A60D0FEB}"/>
    <cellStyle name="Normal 8 2 2 3 2 6 3" xfId="11141" xr:uid="{890E9A64-56E7-4053-BACF-AEA310CD6EA5}"/>
    <cellStyle name="Normal 8 2 2 3 2 7" xfId="4852" xr:uid="{00000000-0005-0000-0000-0000591C0000}"/>
    <cellStyle name="Normal 8 2 2 3 2 7 2" xfId="13294" xr:uid="{DAAF4214-13A0-450E-990D-59DC70DE14C1}"/>
    <cellStyle name="Normal 8 2 2 3 2 8" xfId="9076" xr:uid="{1FBED7B6-8D0D-4B09-B083-B1A7188AE951}"/>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36FEFC33-F373-40A3-A7CC-B30DDF20AC2A}"/>
    <cellStyle name="Normal 8 2 2 3 3 2 3" xfId="11633" xr:uid="{6743CB5A-0A3B-4AA0-9A1E-68BA1AB98FBE}"/>
    <cellStyle name="Normal 8 2 2 3 3 3" xfId="5264" xr:uid="{00000000-0005-0000-0000-00005D1C0000}"/>
    <cellStyle name="Normal 8 2 2 3 3 3 2" xfId="13706" xr:uid="{C04A80A9-6961-411E-B5B6-3EC0A845BCFF}"/>
    <cellStyle name="Normal 8 2 2 3 3 4" xfId="9488" xr:uid="{2ACED3C1-3DA4-40BA-866A-3C0A747FA024}"/>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F0CAA98E-94F8-477F-B306-0629795856AD}"/>
    <cellStyle name="Normal 8 2 2 3 4 2 3" xfId="12046" xr:uid="{DAF43DB3-5E16-4E68-8524-783DBCD53556}"/>
    <cellStyle name="Normal 8 2 2 3 4 3" xfId="5677" xr:uid="{00000000-0005-0000-0000-0000611C0000}"/>
    <cellStyle name="Normal 8 2 2 3 4 3 2" xfId="14119" xr:uid="{7E7F6408-3FB0-4542-9FA9-A7883E0F7031}"/>
    <cellStyle name="Normal 8 2 2 3 4 4" xfId="9901" xr:uid="{2588D204-B2EF-47EE-9781-B0CE14A5689A}"/>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9D9526F2-D6F2-48A3-9E4E-A081B94243E2}"/>
    <cellStyle name="Normal 8 2 2 3 5 2 3" xfId="12459" xr:uid="{E43951F2-B46B-4D1E-A3E5-088ED753E831}"/>
    <cellStyle name="Normal 8 2 2 3 5 3" xfId="6090" xr:uid="{00000000-0005-0000-0000-0000651C0000}"/>
    <cellStyle name="Normal 8 2 2 3 5 3 2" xfId="14532" xr:uid="{8652F05B-4BAE-4432-B785-A278E0B3DAD2}"/>
    <cellStyle name="Normal 8 2 2 3 5 4" xfId="10314" xr:uid="{387EFA1C-4195-4A41-95F1-E2B36A15141D}"/>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9A48BA2F-96AD-4636-A2E5-3716C30749CB}"/>
    <cellStyle name="Normal 8 2 2 3 6 2 3" xfId="12872" xr:uid="{FCE37C70-516C-40E7-9DF3-2E4C275488E9}"/>
    <cellStyle name="Normal 8 2 2 3 6 3" xfId="6503" xr:uid="{00000000-0005-0000-0000-0000691C0000}"/>
    <cellStyle name="Normal 8 2 2 3 6 3 2" xfId="14945" xr:uid="{21A03E0A-2479-400A-A48F-637D3BE6BF7A}"/>
    <cellStyle name="Normal 8 2 2 3 6 4" xfId="10727" xr:uid="{F5D47E37-EB5F-4C91-AC7E-5B96B5999CAB}"/>
    <cellStyle name="Normal 8 2 2 3 7" xfId="2632" xr:uid="{00000000-0005-0000-0000-00006A1C0000}"/>
    <cellStyle name="Normal 8 2 2 3 7 2" xfId="6916" xr:uid="{00000000-0005-0000-0000-00006B1C0000}"/>
    <cellStyle name="Normal 8 2 2 3 7 2 2" xfId="15358" xr:uid="{8C36A210-A33F-444B-828D-68020F570493}"/>
    <cellStyle name="Normal 8 2 2 3 7 3" xfId="11140" xr:uid="{8350F4B9-51B1-4B45-927F-D267CF9DFF57}"/>
    <cellStyle name="Normal 8 2 2 3 8" xfId="4851" xr:uid="{00000000-0005-0000-0000-00006C1C0000}"/>
    <cellStyle name="Normal 8 2 2 3 8 2" xfId="13293" xr:uid="{AAC207AE-F36F-4470-8FA7-D24B9190A3E3}"/>
    <cellStyle name="Normal 8 2 2 3 9" xfId="9075" xr:uid="{685A8D4D-A39C-4C9F-B990-087DEB6A0FE4}"/>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F7AFF057-A6AD-451E-9F68-FC4B58489777}"/>
    <cellStyle name="Normal 8 2 2 4 2 2 3" xfId="11635" xr:uid="{99CD7CC2-273E-4C6A-A9A2-A4C3F33BC1FC}"/>
    <cellStyle name="Normal 8 2 2 4 2 3" xfId="5266" xr:uid="{00000000-0005-0000-0000-0000711C0000}"/>
    <cellStyle name="Normal 8 2 2 4 2 3 2" xfId="13708" xr:uid="{99CBA2D5-7BB2-40DB-A6BD-915183B03139}"/>
    <cellStyle name="Normal 8 2 2 4 2 4" xfId="9490" xr:uid="{B2D20F96-D3F5-4FEA-B0B3-8440D539A2E3}"/>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75447521-A05A-4FAA-A2BA-258E1171148D}"/>
    <cellStyle name="Normal 8 2 2 4 3 2 3" xfId="12048" xr:uid="{CBE63973-2C15-488D-9365-772F76B0B659}"/>
    <cellStyle name="Normal 8 2 2 4 3 3" xfId="5679" xr:uid="{00000000-0005-0000-0000-0000751C0000}"/>
    <cellStyle name="Normal 8 2 2 4 3 3 2" xfId="14121" xr:uid="{748ABF6C-ED07-4F0C-B831-7A1E3D470DCE}"/>
    <cellStyle name="Normal 8 2 2 4 3 4" xfId="9903" xr:uid="{F3F2B5EB-2905-4247-B7DD-6612B85D8AB0}"/>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4136D04C-E657-46F2-B97C-576530E1DB63}"/>
    <cellStyle name="Normal 8 2 2 4 4 2 3" xfId="12461" xr:uid="{836DC17F-9442-4352-A286-FEED327F6CEA}"/>
    <cellStyle name="Normal 8 2 2 4 4 3" xfId="6092" xr:uid="{00000000-0005-0000-0000-0000791C0000}"/>
    <cellStyle name="Normal 8 2 2 4 4 3 2" xfId="14534" xr:uid="{42E7B596-F324-4E23-B112-F5A36494EF05}"/>
    <cellStyle name="Normal 8 2 2 4 4 4" xfId="10316" xr:uid="{AD894124-428E-4AAB-9752-8C76B871BC63}"/>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16A3B911-5368-4877-B37B-2B9C2594AE4D}"/>
    <cellStyle name="Normal 8 2 2 4 5 2 3" xfId="12874" xr:uid="{4EDEA88C-2F78-4121-AE45-8E6A92689FFE}"/>
    <cellStyle name="Normal 8 2 2 4 5 3" xfId="6505" xr:uid="{00000000-0005-0000-0000-00007D1C0000}"/>
    <cellStyle name="Normal 8 2 2 4 5 3 2" xfId="14947" xr:uid="{D12DF30E-6F67-4E18-A0AE-566115881155}"/>
    <cellStyle name="Normal 8 2 2 4 5 4" xfId="10729" xr:uid="{1F96FC3F-8881-49FD-B28D-32777C96C70A}"/>
    <cellStyle name="Normal 8 2 2 4 6" xfId="2634" xr:uid="{00000000-0005-0000-0000-00007E1C0000}"/>
    <cellStyle name="Normal 8 2 2 4 6 2" xfId="6918" xr:uid="{00000000-0005-0000-0000-00007F1C0000}"/>
    <cellStyle name="Normal 8 2 2 4 6 2 2" xfId="15360" xr:uid="{6263CA38-5612-4E0B-B928-739FD0D1D522}"/>
    <cellStyle name="Normal 8 2 2 4 6 3" xfId="11142" xr:uid="{B85C3655-BBC1-4430-A870-4CDA3756605B}"/>
    <cellStyle name="Normal 8 2 2 4 7" xfId="4853" xr:uid="{00000000-0005-0000-0000-0000801C0000}"/>
    <cellStyle name="Normal 8 2 2 4 7 2" xfId="13295" xr:uid="{E2D9940D-4B94-4402-9A66-2201B64542A7}"/>
    <cellStyle name="Normal 8 2 2 4 8" xfId="9077" xr:uid="{4390620F-2A03-4924-9428-D5DB3E8E66D7}"/>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C88F2609-4BDA-4B4E-ADBD-E4447C7CE163}"/>
    <cellStyle name="Normal 8 2 2 5 2 3" xfId="11628" xr:uid="{4E17B0C8-BF90-4A86-A770-B14157BF3D98}"/>
    <cellStyle name="Normal 8 2 2 5 3" xfId="5259" xr:uid="{00000000-0005-0000-0000-0000841C0000}"/>
    <cellStyle name="Normal 8 2 2 5 3 2" xfId="13701" xr:uid="{139AEEFA-951A-422D-9D84-8C40E5899D42}"/>
    <cellStyle name="Normal 8 2 2 5 4" xfId="9483" xr:uid="{ADB18C28-9C5C-4017-830D-E7100808F147}"/>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FFACAE76-49D1-4F50-A390-F78D0E991E61}"/>
    <cellStyle name="Normal 8 2 2 6 2 3" xfId="12041" xr:uid="{9B86BDF1-F803-4F25-BA0F-A66006191DBF}"/>
    <cellStyle name="Normal 8 2 2 6 3" xfId="5672" xr:uid="{00000000-0005-0000-0000-0000881C0000}"/>
    <cellStyle name="Normal 8 2 2 6 3 2" xfId="14114" xr:uid="{C47806CB-13BD-4135-B103-251D7852C31B}"/>
    <cellStyle name="Normal 8 2 2 6 4" xfId="9896" xr:uid="{08C1CC48-57EE-4964-80B7-20A0C21A427C}"/>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5571DA10-F07B-4F40-B5B8-754AD10ADCCC}"/>
    <cellStyle name="Normal 8 2 2 7 2 3" xfId="12454" xr:uid="{38426CF5-23DD-47E7-A6A4-C83E98F1CC6C}"/>
    <cellStyle name="Normal 8 2 2 7 3" xfId="6085" xr:uid="{00000000-0005-0000-0000-00008C1C0000}"/>
    <cellStyle name="Normal 8 2 2 7 3 2" xfId="14527" xr:uid="{A548DC24-ABF6-4578-8B9D-8DF748C90BB4}"/>
    <cellStyle name="Normal 8 2 2 7 4" xfId="10309" xr:uid="{DAF73E8F-1092-4A75-B68F-14FC263FB506}"/>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E9760BE0-ACA0-4B45-A7DD-2AC94DB14D4D}"/>
    <cellStyle name="Normal 8 2 2 8 2 3" xfId="12867" xr:uid="{922649B3-BF80-45B5-B1B3-85524998ED5B}"/>
    <cellStyle name="Normal 8 2 2 8 3" xfId="6498" xr:uid="{00000000-0005-0000-0000-0000901C0000}"/>
    <cellStyle name="Normal 8 2 2 8 3 2" xfId="14940" xr:uid="{DF42613A-EBF1-4835-AEC5-6A8D8C846E14}"/>
    <cellStyle name="Normal 8 2 2 8 4" xfId="10722" xr:uid="{15C6B922-162C-49ED-8A34-71A751CDA735}"/>
    <cellStyle name="Normal 8 2 2 9" xfId="2627" xr:uid="{00000000-0005-0000-0000-0000911C0000}"/>
    <cellStyle name="Normal 8 2 2 9 2" xfId="6911" xr:uid="{00000000-0005-0000-0000-0000921C0000}"/>
    <cellStyle name="Normal 8 2 2 9 2 2" xfId="15353" xr:uid="{5E00B365-5E33-4126-9D3E-EDED6432B376}"/>
    <cellStyle name="Normal 8 2 2 9 3" xfId="11135" xr:uid="{3FA2E906-2580-4449-916D-6493C674E185}"/>
    <cellStyle name="Normal 8 2 3" xfId="488" xr:uid="{00000000-0005-0000-0000-0000931C0000}"/>
    <cellStyle name="Normal 8 2 3 10" xfId="9078" xr:uid="{25C60F40-CC85-48EE-BE43-A6D8DD6FD27C}"/>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8AF29D9E-0A22-4C39-9FC9-4A9830B7AF82}"/>
    <cellStyle name="Normal 8 2 3 2 2 2 2 3" xfId="11638" xr:uid="{15620130-EB95-45A5-94DD-0267CDA7E03D}"/>
    <cellStyle name="Normal 8 2 3 2 2 2 3" xfId="5269" xr:uid="{00000000-0005-0000-0000-0000991C0000}"/>
    <cellStyle name="Normal 8 2 3 2 2 2 3 2" xfId="13711" xr:uid="{EC384B5B-2C1C-4D9D-AA44-50CC6959299F}"/>
    <cellStyle name="Normal 8 2 3 2 2 2 4" xfId="9493" xr:uid="{67A63EA5-0507-4B2A-8940-F3F8816BE68F}"/>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68E0C2B6-15F2-41BB-B8E1-B94BFE5FAE7F}"/>
    <cellStyle name="Normal 8 2 3 2 2 3 2 3" xfId="12051" xr:uid="{E12D586C-557E-474C-8135-1606F085260C}"/>
    <cellStyle name="Normal 8 2 3 2 2 3 3" xfId="5682" xr:uid="{00000000-0005-0000-0000-00009D1C0000}"/>
    <cellStyle name="Normal 8 2 3 2 2 3 3 2" xfId="14124" xr:uid="{D77A9F3E-ED41-4279-A982-4F712FC08B5B}"/>
    <cellStyle name="Normal 8 2 3 2 2 3 4" xfId="9906" xr:uid="{B2BD5209-247D-4FFA-B3CA-F2699676C267}"/>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F2C8F178-B494-4C66-8036-968C370687AE}"/>
    <cellStyle name="Normal 8 2 3 2 2 4 2 3" xfId="12464" xr:uid="{DC97739D-FC03-4CB4-860A-CE645C685DD1}"/>
    <cellStyle name="Normal 8 2 3 2 2 4 3" xfId="6095" xr:uid="{00000000-0005-0000-0000-0000A11C0000}"/>
    <cellStyle name="Normal 8 2 3 2 2 4 3 2" xfId="14537" xr:uid="{8A127E1F-4CE4-4628-B94D-3B8B1FFD542E}"/>
    <cellStyle name="Normal 8 2 3 2 2 4 4" xfId="10319" xr:uid="{0A128532-25E1-4AFA-8A26-1DA25B6E1044}"/>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64B9149E-8C51-4FEF-A764-97A7B89DB3D4}"/>
    <cellStyle name="Normal 8 2 3 2 2 5 2 3" xfId="12877" xr:uid="{3EFCB06D-ACA2-4D29-95AB-05EB17B01E02}"/>
    <cellStyle name="Normal 8 2 3 2 2 5 3" xfId="6508" xr:uid="{00000000-0005-0000-0000-0000A51C0000}"/>
    <cellStyle name="Normal 8 2 3 2 2 5 3 2" xfId="14950" xr:uid="{16AA58BD-1666-4D22-87A1-B98B1974185C}"/>
    <cellStyle name="Normal 8 2 3 2 2 5 4" xfId="10732" xr:uid="{86DC07A0-BC60-4F47-BDED-6CB80E8A3F3E}"/>
    <cellStyle name="Normal 8 2 3 2 2 6" xfId="2637" xr:uid="{00000000-0005-0000-0000-0000A61C0000}"/>
    <cellStyle name="Normal 8 2 3 2 2 6 2" xfId="6921" xr:uid="{00000000-0005-0000-0000-0000A71C0000}"/>
    <cellStyle name="Normal 8 2 3 2 2 6 2 2" xfId="15363" xr:uid="{F1115183-7175-4C5C-AA09-7DB7BD8F0A4A}"/>
    <cellStyle name="Normal 8 2 3 2 2 6 3" xfId="11145" xr:uid="{F26B9F5F-192D-4EFB-972D-A7ACE7286B7D}"/>
    <cellStyle name="Normal 8 2 3 2 2 7" xfId="4856" xr:uid="{00000000-0005-0000-0000-0000A81C0000}"/>
    <cellStyle name="Normal 8 2 3 2 2 7 2" xfId="13298" xr:uid="{04DDD938-37DB-472B-814F-3002878DAD76}"/>
    <cellStyle name="Normal 8 2 3 2 2 8" xfId="9080" xr:uid="{800CC1E3-509E-4F6A-B9FF-BAAA71736EA8}"/>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F591F4FD-B22B-4098-8A48-51D35CCA1F25}"/>
    <cellStyle name="Normal 8 2 3 2 3 2 3" xfId="11637" xr:uid="{530F0A8B-1B9F-4CC8-AB9F-0F7AB67EDCC3}"/>
    <cellStyle name="Normal 8 2 3 2 3 3" xfId="5268" xr:uid="{00000000-0005-0000-0000-0000AC1C0000}"/>
    <cellStyle name="Normal 8 2 3 2 3 3 2" xfId="13710" xr:uid="{F5BD246B-A844-463A-ACF6-1AEF20B5C7E9}"/>
    <cellStyle name="Normal 8 2 3 2 3 4" xfId="9492" xr:uid="{F20E7A10-73FB-4099-A948-E7D84DF57513}"/>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31464A27-37CD-4ECD-8B2B-12906B1D0FD0}"/>
    <cellStyle name="Normal 8 2 3 2 4 2 3" xfId="12050" xr:uid="{9B7013DD-C53E-4368-9ABC-FFCDBBBD406B}"/>
    <cellStyle name="Normal 8 2 3 2 4 3" xfId="5681" xr:uid="{00000000-0005-0000-0000-0000B01C0000}"/>
    <cellStyle name="Normal 8 2 3 2 4 3 2" xfId="14123" xr:uid="{EA088D60-CEE2-49EA-B1E2-1A3EE5231D53}"/>
    <cellStyle name="Normal 8 2 3 2 4 4" xfId="9905" xr:uid="{DF8AFC84-FDC1-452B-992D-E5C564160898}"/>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5783861D-8EE0-4E0E-A24C-948701E4BEDF}"/>
    <cellStyle name="Normal 8 2 3 2 5 2 3" xfId="12463" xr:uid="{12C9CFDA-D8C1-4F86-A9CE-09C69903460E}"/>
    <cellStyle name="Normal 8 2 3 2 5 3" xfId="6094" xr:uid="{00000000-0005-0000-0000-0000B41C0000}"/>
    <cellStyle name="Normal 8 2 3 2 5 3 2" xfId="14536" xr:uid="{024DFDA6-F1E4-43E9-8939-4B8977A0FDEE}"/>
    <cellStyle name="Normal 8 2 3 2 5 4" xfId="10318" xr:uid="{2413636B-1ACF-4925-86B2-8BF096A12B39}"/>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7AF55625-F85E-454B-B60F-989F77203879}"/>
    <cellStyle name="Normal 8 2 3 2 6 2 3" xfId="12876" xr:uid="{F9578659-0B93-4956-B882-A1D132530D09}"/>
    <cellStyle name="Normal 8 2 3 2 6 3" xfId="6507" xr:uid="{00000000-0005-0000-0000-0000B81C0000}"/>
    <cellStyle name="Normal 8 2 3 2 6 3 2" xfId="14949" xr:uid="{A2CC770C-6D6A-489E-A34D-F40F6EE66342}"/>
    <cellStyle name="Normal 8 2 3 2 6 4" xfId="10731" xr:uid="{87B34350-8D90-4666-ABA8-F99289BA71E1}"/>
    <cellStyle name="Normal 8 2 3 2 7" xfId="2636" xr:uid="{00000000-0005-0000-0000-0000B91C0000}"/>
    <cellStyle name="Normal 8 2 3 2 7 2" xfId="6920" xr:uid="{00000000-0005-0000-0000-0000BA1C0000}"/>
    <cellStyle name="Normal 8 2 3 2 7 2 2" xfId="15362" xr:uid="{9E559397-C580-4DFC-B790-CAB22A7B915D}"/>
    <cellStyle name="Normal 8 2 3 2 7 3" xfId="11144" xr:uid="{9CDDF116-D66F-47F0-910D-8B94A3266BA0}"/>
    <cellStyle name="Normal 8 2 3 2 8" xfId="4855" xr:uid="{00000000-0005-0000-0000-0000BB1C0000}"/>
    <cellStyle name="Normal 8 2 3 2 8 2" xfId="13297" xr:uid="{6D5DF66B-964D-4C63-8D5B-86A87C6309CD}"/>
    <cellStyle name="Normal 8 2 3 2 9" xfId="9079" xr:uid="{1343E612-56BA-448F-ABB1-E1058622811F}"/>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F01220D3-9A77-4C00-8F9A-B6C4ED711715}"/>
    <cellStyle name="Normal 8 2 3 3 2 2 3" xfId="11639" xr:uid="{5CF12D85-D636-4083-8623-4CE8A14D7FA0}"/>
    <cellStyle name="Normal 8 2 3 3 2 3" xfId="5270" xr:uid="{00000000-0005-0000-0000-0000C01C0000}"/>
    <cellStyle name="Normal 8 2 3 3 2 3 2" xfId="13712" xr:uid="{C0D79640-6D04-4E8E-AABE-F7AA5A5BE43D}"/>
    <cellStyle name="Normal 8 2 3 3 2 4" xfId="9494" xr:uid="{B52D0CA2-E747-46C7-9F8E-01F24D880EDA}"/>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9102C07F-81E9-4D63-A52E-9844B80E3CB8}"/>
    <cellStyle name="Normal 8 2 3 3 3 2 3" xfId="12052" xr:uid="{E6527216-5D6D-451F-86FD-57D1CD981676}"/>
    <cellStyle name="Normal 8 2 3 3 3 3" xfId="5683" xr:uid="{00000000-0005-0000-0000-0000C41C0000}"/>
    <cellStyle name="Normal 8 2 3 3 3 3 2" xfId="14125" xr:uid="{0A6E1A3E-A630-45DD-B933-B0FC9B061B86}"/>
    <cellStyle name="Normal 8 2 3 3 3 4" xfId="9907" xr:uid="{DB409515-CBA7-4EDF-A2C2-730FAAA8AFDE}"/>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A5050777-761F-47D1-B6DE-D0D7B9694214}"/>
    <cellStyle name="Normal 8 2 3 3 4 2 3" xfId="12465" xr:uid="{A93345E3-1CAF-473A-8EAC-C0588B84BA8E}"/>
    <cellStyle name="Normal 8 2 3 3 4 3" xfId="6096" xr:uid="{00000000-0005-0000-0000-0000C81C0000}"/>
    <cellStyle name="Normal 8 2 3 3 4 3 2" xfId="14538" xr:uid="{F09343AD-4D5D-4BF1-A960-4B0160948028}"/>
    <cellStyle name="Normal 8 2 3 3 4 4" xfId="10320" xr:uid="{BC0CE754-0923-4A88-B9E3-E85A9E8A05BD}"/>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642493F9-BFC0-4286-AF95-9419E33FDEEB}"/>
    <cellStyle name="Normal 8 2 3 3 5 2 3" xfId="12878" xr:uid="{811497A2-8CA6-448C-BECD-B64ECD658193}"/>
    <cellStyle name="Normal 8 2 3 3 5 3" xfId="6509" xr:uid="{00000000-0005-0000-0000-0000CC1C0000}"/>
    <cellStyle name="Normal 8 2 3 3 5 3 2" xfId="14951" xr:uid="{6CEEBEBC-7D71-4D35-9510-BCD24FBA41EC}"/>
    <cellStyle name="Normal 8 2 3 3 5 4" xfId="10733" xr:uid="{2105D3F9-BECF-4DC6-BC9B-B87F71D612C3}"/>
    <cellStyle name="Normal 8 2 3 3 6" xfId="2638" xr:uid="{00000000-0005-0000-0000-0000CD1C0000}"/>
    <cellStyle name="Normal 8 2 3 3 6 2" xfId="6922" xr:uid="{00000000-0005-0000-0000-0000CE1C0000}"/>
    <cellStyle name="Normal 8 2 3 3 6 2 2" xfId="15364" xr:uid="{EDE3693C-F24C-44FA-BDE7-4CCD2DC5039F}"/>
    <cellStyle name="Normal 8 2 3 3 6 3" xfId="11146" xr:uid="{D5213ED7-67B2-4969-B0D5-CBCF8B37516E}"/>
    <cellStyle name="Normal 8 2 3 3 7" xfId="4857" xr:uid="{00000000-0005-0000-0000-0000CF1C0000}"/>
    <cellStyle name="Normal 8 2 3 3 7 2" xfId="13299" xr:uid="{0466D888-AD15-469D-95A6-B3BC28F470E0}"/>
    <cellStyle name="Normal 8 2 3 3 8" xfId="9081" xr:uid="{20B87CC1-4820-4414-B65F-50F2D1EC926A}"/>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897B3336-F10E-4A3F-BD20-5DCD8FEBF4D6}"/>
    <cellStyle name="Normal 8 2 3 4 2 3" xfId="11636" xr:uid="{A0D0EF5D-29EA-4348-961B-D86F933A3DAC}"/>
    <cellStyle name="Normal 8 2 3 4 3" xfId="5267" xr:uid="{00000000-0005-0000-0000-0000D31C0000}"/>
    <cellStyle name="Normal 8 2 3 4 3 2" xfId="13709" xr:uid="{443038EC-C812-4C6F-9405-CFB5275D1AF8}"/>
    <cellStyle name="Normal 8 2 3 4 4" xfId="9491" xr:uid="{C264207F-B678-4A09-A814-453DD9F9BD20}"/>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496346A4-F7BA-4835-AC13-2BC7586CECC1}"/>
    <cellStyle name="Normal 8 2 3 5 2 3" xfId="12049" xr:uid="{0D5E43A3-ED27-4F20-8F2D-CC7D09E070A3}"/>
    <cellStyle name="Normal 8 2 3 5 3" xfId="5680" xr:uid="{00000000-0005-0000-0000-0000D71C0000}"/>
    <cellStyle name="Normal 8 2 3 5 3 2" xfId="14122" xr:uid="{69A47913-F120-474B-8767-B3D2A318C069}"/>
    <cellStyle name="Normal 8 2 3 5 4" xfId="9904" xr:uid="{9E2FC10E-95E2-4824-A538-016EACA0793B}"/>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7EB6ED3E-A84D-47A5-A27C-8D5A3C249F84}"/>
    <cellStyle name="Normal 8 2 3 6 2 3" xfId="12462" xr:uid="{1D81C14F-6347-48E5-B54A-361CE6363DC5}"/>
    <cellStyle name="Normal 8 2 3 6 3" xfId="6093" xr:uid="{00000000-0005-0000-0000-0000DB1C0000}"/>
    <cellStyle name="Normal 8 2 3 6 3 2" xfId="14535" xr:uid="{C0C95FAD-F19E-4712-9401-3F5D103E3D93}"/>
    <cellStyle name="Normal 8 2 3 6 4" xfId="10317" xr:uid="{CBBD086B-E63A-4E82-A6DA-00588D9A75A6}"/>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511E25DC-E123-4822-A8CF-8CA26F30EE7A}"/>
    <cellStyle name="Normal 8 2 3 7 2 3" xfId="12875" xr:uid="{84E92454-ED4A-4F50-B27D-0D10F39FC54B}"/>
    <cellStyle name="Normal 8 2 3 7 3" xfId="6506" xr:uid="{00000000-0005-0000-0000-0000DF1C0000}"/>
    <cellStyle name="Normal 8 2 3 7 3 2" xfId="14948" xr:uid="{6D115C6D-3BB0-4D86-A13E-86B59B56DC1A}"/>
    <cellStyle name="Normal 8 2 3 7 4" xfId="10730" xr:uid="{6378F1E0-1D14-4450-BBB1-3F7460880F58}"/>
    <cellStyle name="Normal 8 2 3 8" xfId="2635" xr:uid="{00000000-0005-0000-0000-0000E01C0000}"/>
    <cellStyle name="Normal 8 2 3 8 2" xfId="6919" xr:uid="{00000000-0005-0000-0000-0000E11C0000}"/>
    <cellStyle name="Normal 8 2 3 8 2 2" xfId="15361" xr:uid="{FCFCD0D0-2143-4F90-988A-BD173FCB6B5C}"/>
    <cellStyle name="Normal 8 2 3 8 3" xfId="11143" xr:uid="{AB13DB93-F5E8-4D22-BB1A-F83A7FE29BE0}"/>
    <cellStyle name="Normal 8 2 3 9" xfId="4854" xr:uid="{00000000-0005-0000-0000-0000E21C0000}"/>
    <cellStyle name="Normal 8 2 3 9 2" xfId="13296" xr:uid="{7506BBAE-EE37-4763-9004-E3392F81F68C}"/>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6D5C676F-8DF6-4DD4-B805-59174AC44573}"/>
    <cellStyle name="Normal 8 2 4 2 2 2 3" xfId="11641" xr:uid="{17946697-5766-4670-BFAC-96BA7046BB98}"/>
    <cellStyle name="Normal 8 2 4 2 2 3" xfId="5272" xr:uid="{00000000-0005-0000-0000-0000E81C0000}"/>
    <cellStyle name="Normal 8 2 4 2 2 3 2" xfId="13714" xr:uid="{1D9C2FE3-E259-489C-AECC-EA3991ADF8D8}"/>
    <cellStyle name="Normal 8 2 4 2 2 4" xfId="9496" xr:uid="{55B6AE8A-D180-47A3-B5F8-A55CC7E32E18}"/>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CEEB575B-17E4-4CEB-810D-BE12D807EED8}"/>
    <cellStyle name="Normal 8 2 4 2 3 2 3" xfId="12054" xr:uid="{EDBBB4B6-5597-4C64-BD1D-853B763823E7}"/>
    <cellStyle name="Normal 8 2 4 2 3 3" xfId="5685" xr:uid="{00000000-0005-0000-0000-0000EC1C0000}"/>
    <cellStyle name="Normal 8 2 4 2 3 3 2" xfId="14127" xr:uid="{C505397B-1937-45E3-ADC6-18BC5DE2D6CF}"/>
    <cellStyle name="Normal 8 2 4 2 3 4" xfId="9909" xr:uid="{76916541-745C-4BEC-A78C-0DA287890FD0}"/>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9A7768E2-B8D6-40CC-9254-A93A09690C4B}"/>
    <cellStyle name="Normal 8 2 4 2 4 2 3" xfId="12467" xr:uid="{F3435248-510B-4B3D-B386-C994DDFEB2E7}"/>
    <cellStyle name="Normal 8 2 4 2 4 3" xfId="6098" xr:uid="{00000000-0005-0000-0000-0000F01C0000}"/>
    <cellStyle name="Normal 8 2 4 2 4 3 2" xfId="14540" xr:uid="{8B1442E0-053D-4614-9CF0-BB4F7C88734B}"/>
    <cellStyle name="Normal 8 2 4 2 4 4" xfId="10322" xr:uid="{FFACEF3E-2600-4BCC-8D8F-6A1A251832DA}"/>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0D285DBB-6B5A-47F4-999F-166F0C7DCDD5}"/>
    <cellStyle name="Normal 8 2 4 2 5 2 3" xfId="12880" xr:uid="{D4A47FFD-5D66-48E9-85E3-62C9B52A05B0}"/>
    <cellStyle name="Normal 8 2 4 2 5 3" xfId="6511" xr:uid="{00000000-0005-0000-0000-0000F41C0000}"/>
    <cellStyle name="Normal 8 2 4 2 5 3 2" xfId="14953" xr:uid="{C1DC6E13-326F-4592-83EB-5FCF5209B855}"/>
    <cellStyle name="Normal 8 2 4 2 5 4" xfId="10735" xr:uid="{AC7BB0DB-597E-482C-9D6A-5BCF7E547642}"/>
    <cellStyle name="Normal 8 2 4 2 6" xfId="2640" xr:uid="{00000000-0005-0000-0000-0000F51C0000}"/>
    <cellStyle name="Normal 8 2 4 2 6 2" xfId="6924" xr:uid="{00000000-0005-0000-0000-0000F61C0000}"/>
    <cellStyle name="Normal 8 2 4 2 6 2 2" xfId="15366" xr:uid="{A750289A-5DE0-481D-8C82-BAC6EC9B3DA2}"/>
    <cellStyle name="Normal 8 2 4 2 6 3" xfId="11148" xr:uid="{ADB39D2B-6324-4DAE-890D-CEFB1DB035FD}"/>
    <cellStyle name="Normal 8 2 4 2 7" xfId="4859" xr:uid="{00000000-0005-0000-0000-0000F71C0000}"/>
    <cellStyle name="Normal 8 2 4 2 7 2" xfId="13301" xr:uid="{BBC8EBAA-39EF-499A-AF7C-3C60D07482D8}"/>
    <cellStyle name="Normal 8 2 4 2 8" xfId="9083" xr:uid="{069DA2E7-D7B9-43F2-A78D-37836C6CD028}"/>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BDA47B52-DEE1-4B76-91E3-644A797C9A11}"/>
    <cellStyle name="Normal 8 2 4 3 2 3" xfId="11640" xr:uid="{27BC52DF-8BA9-4B28-93E5-327326494DF2}"/>
    <cellStyle name="Normal 8 2 4 3 3" xfId="5271" xr:uid="{00000000-0005-0000-0000-0000FB1C0000}"/>
    <cellStyle name="Normal 8 2 4 3 3 2" xfId="13713" xr:uid="{DCF6DF4F-0D3A-4A85-BBB2-A15AEA26E312}"/>
    <cellStyle name="Normal 8 2 4 3 4" xfId="9495" xr:uid="{5E18BC37-47AB-4869-9684-9C06F656F419}"/>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1E83DADB-01B5-4008-A5D9-3C5D0ED74DD2}"/>
    <cellStyle name="Normal 8 2 4 4 2 3" xfId="12053" xr:uid="{DE20A9FA-51D9-442C-9C2B-04B72C137B08}"/>
    <cellStyle name="Normal 8 2 4 4 3" xfId="5684" xr:uid="{00000000-0005-0000-0000-0000FF1C0000}"/>
    <cellStyle name="Normal 8 2 4 4 3 2" xfId="14126" xr:uid="{8734F6CF-66B9-473E-B462-E89A8D7E3B29}"/>
    <cellStyle name="Normal 8 2 4 4 4" xfId="9908" xr:uid="{18AF06C1-363D-4424-81CE-6E6AB77427A5}"/>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8474E534-C0E7-4106-AE33-9004917C44D8}"/>
    <cellStyle name="Normal 8 2 4 5 2 3" xfId="12466" xr:uid="{56043B98-099C-4E8E-B5BC-25FCCE016B28}"/>
    <cellStyle name="Normal 8 2 4 5 3" xfId="6097" xr:uid="{00000000-0005-0000-0000-0000031D0000}"/>
    <cellStyle name="Normal 8 2 4 5 3 2" xfId="14539" xr:uid="{12994B75-8D38-4488-B9C6-AA764FE15528}"/>
    <cellStyle name="Normal 8 2 4 5 4" xfId="10321" xr:uid="{563CDF1E-D672-46BA-925B-3C5A8446CAD3}"/>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B214EDE1-0DBB-4C5F-B01C-F74DA781672E}"/>
    <cellStyle name="Normal 8 2 4 6 2 3" xfId="12879" xr:uid="{00110EC4-3AF1-47C6-A391-13721C72BBE3}"/>
    <cellStyle name="Normal 8 2 4 6 3" xfId="6510" xr:uid="{00000000-0005-0000-0000-0000071D0000}"/>
    <cellStyle name="Normal 8 2 4 6 3 2" xfId="14952" xr:uid="{7950FD4F-80A4-4F68-845B-117FD4C73D0E}"/>
    <cellStyle name="Normal 8 2 4 6 4" xfId="10734" xr:uid="{40C90FFD-C67B-4E89-83B1-C055E892C19F}"/>
    <cellStyle name="Normal 8 2 4 7" xfId="2639" xr:uid="{00000000-0005-0000-0000-0000081D0000}"/>
    <cellStyle name="Normal 8 2 4 7 2" xfId="6923" xr:uid="{00000000-0005-0000-0000-0000091D0000}"/>
    <cellStyle name="Normal 8 2 4 7 2 2" xfId="15365" xr:uid="{9044B2E8-BA70-4C2C-991C-2863607FFE71}"/>
    <cellStyle name="Normal 8 2 4 7 3" xfId="11147" xr:uid="{813DFDD2-67F4-4392-A274-ADF4BAB7DA14}"/>
    <cellStyle name="Normal 8 2 4 8" xfId="4858" xr:uid="{00000000-0005-0000-0000-00000A1D0000}"/>
    <cellStyle name="Normal 8 2 4 8 2" xfId="13300" xr:uid="{48B8734F-D94C-4029-A133-DF37BB313427}"/>
    <cellStyle name="Normal 8 2 4 9" xfId="9082" xr:uid="{45417EF0-A122-44AA-96EC-37518010640E}"/>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2D3BED17-58B1-4116-B058-223F9E14026A}"/>
    <cellStyle name="Normal 8 2 5 2 2 3" xfId="11642" xr:uid="{A352697C-C94D-49EF-A6FF-417CC06383D4}"/>
    <cellStyle name="Normal 8 2 5 2 3" xfId="5273" xr:uid="{00000000-0005-0000-0000-00000F1D0000}"/>
    <cellStyle name="Normal 8 2 5 2 3 2" xfId="13715" xr:uid="{05152D05-EC36-4D2A-9F95-5175D1DB9998}"/>
    <cellStyle name="Normal 8 2 5 2 4" xfId="9497" xr:uid="{2D7D289B-AD53-48FC-B6B5-DA8A3775BE14}"/>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2E63BB93-E6C4-4F9B-B42C-CF03E8AEB0CA}"/>
    <cellStyle name="Normal 8 2 5 3 2 3" xfId="12055" xr:uid="{66AEB8A1-58D0-4513-912F-E3F7987DCB73}"/>
    <cellStyle name="Normal 8 2 5 3 3" xfId="5686" xr:uid="{00000000-0005-0000-0000-0000131D0000}"/>
    <cellStyle name="Normal 8 2 5 3 3 2" xfId="14128" xr:uid="{810AEE13-C4EA-4D67-9D9D-9A79ED33A16E}"/>
    <cellStyle name="Normal 8 2 5 3 4" xfId="9910" xr:uid="{CBC10C9C-71CD-436B-A49C-F814DC5485B2}"/>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FE62D7B9-7B2B-481B-A149-C932A7838155}"/>
    <cellStyle name="Normal 8 2 5 4 2 3" xfId="12468" xr:uid="{B7CB687F-D46D-4F5B-8120-8EDE3662E46B}"/>
    <cellStyle name="Normal 8 2 5 4 3" xfId="6099" xr:uid="{00000000-0005-0000-0000-0000171D0000}"/>
    <cellStyle name="Normal 8 2 5 4 3 2" xfId="14541" xr:uid="{6074DB23-0666-4742-909D-D2DC6911CE54}"/>
    <cellStyle name="Normal 8 2 5 4 4" xfId="10323" xr:uid="{A8B7D6DC-AC20-40DC-96FC-4971356F0B8F}"/>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F12B34F2-68E2-4C33-9AB0-8C2ACAF35EA8}"/>
    <cellStyle name="Normal 8 2 5 5 2 3" xfId="12881" xr:uid="{C0E7825A-7BDD-4BCA-A4F2-FB777417ECDB}"/>
    <cellStyle name="Normal 8 2 5 5 3" xfId="6512" xr:uid="{00000000-0005-0000-0000-00001B1D0000}"/>
    <cellStyle name="Normal 8 2 5 5 3 2" xfId="14954" xr:uid="{265B72B1-75A3-40BD-AA71-815261D575F0}"/>
    <cellStyle name="Normal 8 2 5 5 4" xfId="10736" xr:uid="{99C6A1D9-D13D-435B-AD37-EC17A0E032B7}"/>
    <cellStyle name="Normal 8 2 5 6" xfId="2641" xr:uid="{00000000-0005-0000-0000-00001C1D0000}"/>
    <cellStyle name="Normal 8 2 5 6 2" xfId="6925" xr:uid="{00000000-0005-0000-0000-00001D1D0000}"/>
    <cellStyle name="Normal 8 2 5 6 2 2" xfId="15367" xr:uid="{DF83D755-20AF-40F9-8D64-413B09916A8D}"/>
    <cellStyle name="Normal 8 2 5 6 3" xfId="11149" xr:uid="{0957E726-0BA1-4601-B969-11D7E21359D5}"/>
    <cellStyle name="Normal 8 2 5 7" xfId="4860" xr:uid="{00000000-0005-0000-0000-00001E1D0000}"/>
    <cellStyle name="Normal 8 2 5 7 2" xfId="13302" xr:uid="{E53BFEFE-2B80-4805-A2C1-A9CAEB3391E6}"/>
    <cellStyle name="Normal 8 2 5 8" xfId="9084" xr:uid="{29DC778D-8259-42D1-BB5E-5D82294C3EFD}"/>
    <cellStyle name="Normal 8 2 6" xfId="946" xr:uid="{00000000-0005-0000-0000-00001F1D0000}"/>
    <cellStyle name="Normal 8 2 6 2" xfId="3180" xr:uid="{00000000-0005-0000-0000-0000201D0000}"/>
    <cellStyle name="Normal 8 2 6 2 2" xfId="7403" xr:uid="{00000000-0005-0000-0000-0000211D0000}"/>
    <cellStyle name="Normal 8 2 6 2 2 2" xfId="15845" xr:uid="{84912593-325A-4584-9271-73D22A881E50}"/>
    <cellStyle name="Normal 8 2 6 2 3" xfId="11627" xr:uid="{DAEB75FD-EB65-4D01-ACB5-02FCD37926D4}"/>
    <cellStyle name="Normal 8 2 6 3" xfId="5258" xr:uid="{00000000-0005-0000-0000-0000221D0000}"/>
    <cellStyle name="Normal 8 2 6 3 2" xfId="13700" xr:uid="{E8304A9F-80DF-4F8E-9ED1-E1634C2602BE}"/>
    <cellStyle name="Normal 8 2 6 4" xfId="9482" xr:uid="{0E844FC2-4BFD-4B52-8988-2EC9082EF21A}"/>
    <cellStyle name="Normal 8 2 7" xfId="1363" xr:uid="{00000000-0005-0000-0000-0000231D0000}"/>
    <cellStyle name="Normal 8 2 7 2" xfId="3593" xr:uid="{00000000-0005-0000-0000-0000241D0000}"/>
    <cellStyle name="Normal 8 2 7 2 2" xfId="7816" xr:uid="{00000000-0005-0000-0000-0000251D0000}"/>
    <cellStyle name="Normal 8 2 7 2 2 2" xfId="16258" xr:uid="{0753F599-C1B8-4DDA-8229-597EA84220D8}"/>
    <cellStyle name="Normal 8 2 7 2 3" xfId="12040" xr:uid="{216BB535-AB6E-42FF-8950-89761DDBCDB5}"/>
    <cellStyle name="Normal 8 2 7 3" xfId="5671" xr:uid="{00000000-0005-0000-0000-0000261D0000}"/>
    <cellStyle name="Normal 8 2 7 3 2" xfId="14113" xr:uid="{E16B4EA6-70B6-4B67-8307-5C2B780C0F31}"/>
    <cellStyle name="Normal 8 2 7 4" xfId="9895" xr:uid="{C3B7D4BB-826B-476C-B627-1F78682FA159}"/>
    <cellStyle name="Normal 8 2 8" xfId="1776" xr:uid="{00000000-0005-0000-0000-0000271D0000}"/>
    <cellStyle name="Normal 8 2 8 2" xfId="4006" xr:uid="{00000000-0005-0000-0000-0000281D0000}"/>
    <cellStyle name="Normal 8 2 8 2 2" xfId="8229" xr:uid="{00000000-0005-0000-0000-0000291D0000}"/>
    <cellStyle name="Normal 8 2 8 2 2 2" xfId="16671" xr:uid="{C2F0B3DD-9EC5-4F70-813F-57103FB6429B}"/>
    <cellStyle name="Normal 8 2 8 2 3" xfId="12453" xr:uid="{02E94623-8145-4777-9CBF-C6318A45D7CA}"/>
    <cellStyle name="Normal 8 2 8 3" xfId="6084" xr:uid="{00000000-0005-0000-0000-00002A1D0000}"/>
    <cellStyle name="Normal 8 2 8 3 2" xfId="14526" xr:uid="{AB5C528C-4029-42BC-A4A5-603DAEB1C557}"/>
    <cellStyle name="Normal 8 2 8 4" xfId="10308" xr:uid="{7DA75F6B-74DC-4C56-8811-BBF6EB03226E}"/>
    <cellStyle name="Normal 8 2 9" xfId="2190" xr:uid="{00000000-0005-0000-0000-00002B1D0000}"/>
    <cellStyle name="Normal 8 2 9 2" xfId="4419" xr:uid="{00000000-0005-0000-0000-00002C1D0000}"/>
    <cellStyle name="Normal 8 2 9 2 2" xfId="8642" xr:uid="{00000000-0005-0000-0000-00002D1D0000}"/>
    <cellStyle name="Normal 8 2 9 2 2 2" xfId="17084" xr:uid="{3C5E362E-8B2B-40A9-A101-EC0F4DE21213}"/>
    <cellStyle name="Normal 8 2 9 2 3" xfId="12866" xr:uid="{3B461A06-3682-4751-BA20-8BBD24CAB909}"/>
    <cellStyle name="Normal 8 2 9 3" xfId="6497" xr:uid="{00000000-0005-0000-0000-00002E1D0000}"/>
    <cellStyle name="Normal 8 2 9 3 2" xfId="14939" xr:uid="{59DD39CC-F8C5-4AFF-8B47-984E8A812B18}"/>
    <cellStyle name="Normal 8 2 9 4" xfId="10721" xr:uid="{C9D5C02B-D9AF-4EDD-A3B2-09ACA6E9FE44}"/>
    <cellStyle name="Normal 8 3" xfId="495" xr:uid="{00000000-0005-0000-0000-00002F1D0000}"/>
    <cellStyle name="Normal 8 3 10" xfId="4861" xr:uid="{00000000-0005-0000-0000-0000301D0000}"/>
    <cellStyle name="Normal 8 3 10 2" xfId="13303" xr:uid="{4538313C-DB19-44D7-84F3-F42B208ECA26}"/>
    <cellStyle name="Normal 8 3 11" xfId="9085" xr:uid="{9A183BDB-0BAE-4668-9BE8-F93A8CDA784B}"/>
    <cellStyle name="Normal 8 3 2" xfId="496" xr:uid="{00000000-0005-0000-0000-0000311D0000}"/>
    <cellStyle name="Normal 8 3 2 10" xfId="9086" xr:uid="{52E28228-897A-4844-8918-D8A4F2915338}"/>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DC16D9E9-552B-49CA-87A7-58F5064BFEC3}"/>
    <cellStyle name="Normal 8 3 2 2 2 2 2 3" xfId="11646" xr:uid="{CA7F17B0-0899-485B-8FA0-402BADE5E6AE}"/>
    <cellStyle name="Normal 8 3 2 2 2 2 3" xfId="5277" xr:uid="{00000000-0005-0000-0000-0000371D0000}"/>
    <cellStyle name="Normal 8 3 2 2 2 2 3 2" xfId="13719" xr:uid="{C7E4606B-55E0-4DC8-B09D-B76575E2F195}"/>
    <cellStyle name="Normal 8 3 2 2 2 2 4" xfId="9501" xr:uid="{21446617-0F3F-4F32-AD5E-C0552C909F21}"/>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B11D8D67-F0D0-4296-A492-C9338D829952}"/>
    <cellStyle name="Normal 8 3 2 2 2 3 2 3" xfId="12059" xr:uid="{C9946F1C-BDA8-432F-A014-2943BB3D117F}"/>
    <cellStyle name="Normal 8 3 2 2 2 3 3" xfId="5690" xr:uid="{00000000-0005-0000-0000-00003B1D0000}"/>
    <cellStyle name="Normal 8 3 2 2 2 3 3 2" xfId="14132" xr:uid="{4F42D797-1686-4832-9943-7875A6C81C7F}"/>
    <cellStyle name="Normal 8 3 2 2 2 3 4" xfId="9914" xr:uid="{54372B98-D10F-40B5-85A4-B03B4E4E1A4D}"/>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D098FA7A-7460-4B1A-9AFE-2D83170AA197}"/>
    <cellStyle name="Normal 8 3 2 2 2 4 2 3" xfId="12472" xr:uid="{0FFBCC07-1D57-48E8-80F2-AE09CD8E379B}"/>
    <cellStyle name="Normal 8 3 2 2 2 4 3" xfId="6103" xr:uid="{00000000-0005-0000-0000-00003F1D0000}"/>
    <cellStyle name="Normal 8 3 2 2 2 4 3 2" xfId="14545" xr:uid="{B14BF137-C060-4E60-BD9E-CA093DFA21FC}"/>
    <cellStyle name="Normal 8 3 2 2 2 4 4" xfId="10327" xr:uid="{D5F82917-7567-495E-9EE7-B9E55B1EA9B6}"/>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371E827F-471F-475E-BDC0-4448BCC67567}"/>
    <cellStyle name="Normal 8 3 2 2 2 5 2 3" xfId="12885" xr:uid="{B85D2209-C3ED-4CB2-8968-73E7F242005F}"/>
    <cellStyle name="Normal 8 3 2 2 2 5 3" xfId="6516" xr:uid="{00000000-0005-0000-0000-0000431D0000}"/>
    <cellStyle name="Normal 8 3 2 2 2 5 3 2" xfId="14958" xr:uid="{3FAF74EA-9076-4546-AE92-85BE5810326F}"/>
    <cellStyle name="Normal 8 3 2 2 2 5 4" xfId="10740" xr:uid="{7B605923-7E77-479C-9845-76D1C9407FC5}"/>
    <cellStyle name="Normal 8 3 2 2 2 6" xfId="2645" xr:uid="{00000000-0005-0000-0000-0000441D0000}"/>
    <cellStyle name="Normal 8 3 2 2 2 6 2" xfId="6929" xr:uid="{00000000-0005-0000-0000-0000451D0000}"/>
    <cellStyle name="Normal 8 3 2 2 2 6 2 2" xfId="15371" xr:uid="{C5022A71-F65A-4D68-BBF1-5809F94A88D4}"/>
    <cellStyle name="Normal 8 3 2 2 2 6 3" xfId="11153" xr:uid="{CBCD492B-2D8E-499B-B8C6-0074F36A4B72}"/>
    <cellStyle name="Normal 8 3 2 2 2 7" xfId="4864" xr:uid="{00000000-0005-0000-0000-0000461D0000}"/>
    <cellStyle name="Normal 8 3 2 2 2 7 2" xfId="13306" xr:uid="{2DC875FF-CCA2-4523-8A2F-6CA475A333EF}"/>
    <cellStyle name="Normal 8 3 2 2 2 8" xfId="9088" xr:uid="{251CC879-1663-4745-B6FD-29122AB5A763}"/>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C4221341-8A65-41C2-BC31-DD826C7AFEDC}"/>
    <cellStyle name="Normal 8 3 2 2 3 2 3" xfId="11645" xr:uid="{3B375410-C5EF-4DF2-938A-9F87A0D0689A}"/>
    <cellStyle name="Normal 8 3 2 2 3 3" xfId="5276" xr:uid="{00000000-0005-0000-0000-00004A1D0000}"/>
    <cellStyle name="Normal 8 3 2 2 3 3 2" xfId="13718" xr:uid="{5B9BED8C-B0BB-422C-A14D-1C41E33E2B58}"/>
    <cellStyle name="Normal 8 3 2 2 3 4" xfId="9500" xr:uid="{C84FE997-FA63-4994-A45F-1F793EC625B6}"/>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68A3D182-250E-4625-BA91-495C8B132D7B}"/>
    <cellStyle name="Normal 8 3 2 2 4 2 3" xfId="12058" xr:uid="{BCBA35A6-4551-4BFD-A51F-CF683DB6BDD7}"/>
    <cellStyle name="Normal 8 3 2 2 4 3" xfId="5689" xr:uid="{00000000-0005-0000-0000-00004E1D0000}"/>
    <cellStyle name="Normal 8 3 2 2 4 3 2" xfId="14131" xr:uid="{FA3C87C1-0989-465E-BDAC-B730B7E8BB1F}"/>
    <cellStyle name="Normal 8 3 2 2 4 4" xfId="9913" xr:uid="{06022BD1-6A37-4B5C-A4C4-7FF5E13D7F83}"/>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66190FD1-D7D4-4C52-8F74-0884892482C5}"/>
    <cellStyle name="Normal 8 3 2 2 5 2 3" xfId="12471" xr:uid="{8B6DC0EC-4F98-46DE-9EED-28E3D7120CF3}"/>
    <cellStyle name="Normal 8 3 2 2 5 3" xfId="6102" xr:uid="{00000000-0005-0000-0000-0000521D0000}"/>
    <cellStyle name="Normal 8 3 2 2 5 3 2" xfId="14544" xr:uid="{33A871E1-095A-4B8C-BCE2-38EF166D79A9}"/>
    <cellStyle name="Normal 8 3 2 2 5 4" xfId="10326" xr:uid="{F9FE3EA6-8439-4624-A4B2-F198E18CFFB6}"/>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3E15A5CC-9E68-40E3-9581-09654F24A126}"/>
    <cellStyle name="Normal 8 3 2 2 6 2 3" xfId="12884" xr:uid="{1C45D02C-C859-4DFB-A0FA-E582C27623FA}"/>
    <cellStyle name="Normal 8 3 2 2 6 3" xfId="6515" xr:uid="{00000000-0005-0000-0000-0000561D0000}"/>
    <cellStyle name="Normal 8 3 2 2 6 3 2" xfId="14957" xr:uid="{464544EF-5BEA-477D-A973-AC085CE1A711}"/>
    <cellStyle name="Normal 8 3 2 2 6 4" xfId="10739" xr:uid="{C2244666-6300-4730-88B9-07581433AA2E}"/>
    <cellStyle name="Normal 8 3 2 2 7" xfId="2644" xr:uid="{00000000-0005-0000-0000-0000571D0000}"/>
    <cellStyle name="Normal 8 3 2 2 7 2" xfId="6928" xr:uid="{00000000-0005-0000-0000-0000581D0000}"/>
    <cellStyle name="Normal 8 3 2 2 7 2 2" xfId="15370" xr:uid="{FBE197C0-8F70-43A1-AE35-94D943451DCC}"/>
    <cellStyle name="Normal 8 3 2 2 7 3" xfId="11152" xr:uid="{15C73076-707B-4122-8F00-C4FA8D5019FD}"/>
    <cellStyle name="Normal 8 3 2 2 8" xfId="4863" xr:uid="{00000000-0005-0000-0000-0000591D0000}"/>
    <cellStyle name="Normal 8 3 2 2 8 2" xfId="13305" xr:uid="{BB7CDE42-4FBF-460E-B026-9240ED18E8B6}"/>
    <cellStyle name="Normal 8 3 2 2 9" xfId="9087" xr:uid="{9D0FA45F-910B-45D2-923C-A13D01C1225F}"/>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5E1A9B49-C101-4430-A141-68B066FAC8F9}"/>
    <cellStyle name="Normal 8 3 2 3 2 2 3" xfId="11647" xr:uid="{C3208ABB-7960-4A60-A883-858FA4384969}"/>
    <cellStyle name="Normal 8 3 2 3 2 3" xfId="5278" xr:uid="{00000000-0005-0000-0000-00005E1D0000}"/>
    <cellStyle name="Normal 8 3 2 3 2 3 2" xfId="13720" xr:uid="{28BD318B-E0D7-4EE3-BC46-36CCCBE76753}"/>
    <cellStyle name="Normal 8 3 2 3 2 4" xfId="9502" xr:uid="{9CF6F120-623B-4E6E-933D-975F319934E2}"/>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D4A2A763-0ABB-4601-9B61-DEAB1545611A}"/>
    <cellStyle name="Normal 8 3 2 3 3 2 3" xfId="12060" xr:uid="{AB958271-01E4-4AFC-97D4-6FBD2283DCBD}"/>
    <cellStyle name="Normal 8 3 2 3 3 3" xfId="5691" xr:uid="{00000000-0005-0000-0000-0000621D0000}"/>
    <cellStyle name="Normal 8 3 2 3 3 3 2" xfId="14133" xr:uid="{B3CDC982-E7B0-453B-9AC4-742481C7EA83}"/>
    <cellStyle name="Normal 8 3 2 3 3 4" xfId="9915" xr:uid="{1CDEF8FA-2D5A-4A40-BC9C-D9B9B7C35A4D}"/>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5C511B81-BE55-4FDB-A28F-B222718D2210}"/>
    <cellStyle name="Normal 8 3 2 3 4 2 3" xfId="12473" xr:uid="{DBA2E369-8F7B-43F2-BB99-7875700B28FA}"/>
    <cellStyle name="Normal 8 3 2 3 4 3" xfId="6104" xr:uid="{00000000-0005-0000-0000-0000661D0000}"/>
    <cellStyle name="Normal 8 3 2 3 4 3 2" xfId="14546" xr:uid="{54B6662C-AD99-4966-94DE-C1C09BA9F87C}"/>
    <cellStyle name="Normal 8 3 2 3 4 4" xfId="10328" xr:uid="{18EA9827-04C4-43F4-877D-85C27179BBDF}"/>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B719D66A-C804-4F1B-B9E3-BA88127210DD}"/>
    <cellStyle name="Normal 8 3 2 3 5 2 3" xfId="12886" xr:uid="{32ECDA04-87BD-43AB-922D-B5A86EE755FD}"/>
    <cellStyle name="Normal 8 3 2 3 5 3" xfId="6517" xr:uid="{00000000-0005-0000-0000-00006A1D0000}"/>
    <cellStyle name="Normal 8 3 2 3 5 3 2" xfId="14959" xr:uid="{9604BF0C-669E-4745-AC13-A6E665FC18F9}"/>
    <cellStyle name="Normal 8 3 2 3 5 4" xfId="10741" xr:uid="{0CE13B62-6C02-4E7B-AC1B-FC37859AAB3D}"/>
    <cellStyle name="Normal 8 3 2 3 6" xfId="2646" xr:uid="{00000000-0005-0000-0000-00006B1D0000}"/>
    <cellStyle name="Normal 8 3 2 3 6 2" xfId="6930" xr:uid="{00000000-0005-0000-0000-00006C1D0000}"/>
    <cellStyle name="Normal 8 3 2 3 6 2 2" xfId="15372" xr:uid="{8BCB5B7B-CEC4-4204-90F6-B47FC6A6E029}"/>
    <cellStyle name="Normal 8 3 2 3 6 3" xfId="11154" xr:uid="{A5C847F4-953B-4B47-A357-F4EE8A86E20C}"/>
    <cellStyle name="Normal 8 3 2 3 7" xfId="4865" xr:uid="{00000000-0005-0000-0000-00006D1D0000}"/>
    <cellStyle name="Normal 8 3 2 3 7 2" xfId="13307" xr:uid="{79BE9F68-7DA4-484B-9A31-B1007478F7B9}"/>
    <cellStyle name="Normal 8 3 2 3 8" xfId="9089" xr:uid="{C57AB22D-F589-42EE-BF5D-B64410996F10}"/>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C75811C3-C40A-4FE4-A615-BAAF04722AED}"/>
    <cellStyle name="Normal 8 3 2 4 2 3" xfId="11644" xr:uid="{8E6859FE-F3B0-494F-8962-4ABC34458BBC}"/>
    <cellStyle name="Normal 8 3 2 4 3" xfId="5275" xr:uid="{00000000-0005-0000-0000-0000711D0000}"/>
    <cellStyle name="Normal 8 3 2 4 3 2" xfId="13717" xr:uid="{CF56CFDC-A01D-4779-BB9B-B8C54D812CD1}"/>
    <cellStyle name="Normal 8 3 2 4 4" xfId="9499" xr:uid="{20C5DF59-BD21-410D-8236-FF89AE249C3F}"/>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7F9C4398-3ED2-4D93-8ECA-B6CEEB9B6C76}"/>
    <cellStyle name="Normal 8 3 2 5 2 3" xfId="12057" xr:uid="{255843EA-B46C-4839-A3F5-5782AE9B77A0}"/>
    <cellStyle name="Normal 8 3 2 5 3" xfId="5688" xr:uid="{00000000-0005-0000-0000-0000751D0000}"/>
    <cellStyle name="Normal 8 3 2 5 3 2" xfId="14130" xr:uid="{57286F2F-7468-4072-9C1F-7F36971D66F8}"/>
    <cellStyle name="Normal 8 3 2 5 4" xfId="9912" xr:uid="{02C559E2-CBFC-4141-8D68-3A1D9C5FEB06}"/>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9EE26172-10EB-44BC-AA1A-4EAA18C17B9F}"/>
    <cellStyle name="Normal 8 3 2 6 2 3" xfId="12470" xr:uid="{73F38E6B-1BD0-4192-B3C2-74F9E1CB7BCA}"/>
    <cellStyle name="Normal 8 3 2 6 3" xfId="6101" xr:uid="{00000000-0005-0000-0000-0000791D0000}"/>
    <cellStyle name="Normal 8 3 2 6 3 2" xfId="14543" xr:uid="{DF23DF22-F6A1-42BE-86C8-B0FDDBA15E9D}"/>
    <cellStyle name="Normal 8 3 2 6 4" xfId="10325" xr:uid="{8A128639-C7E4-4D57-AEB6-AD3C947EF439}"/>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24B5AFDC-F568-41F2-9AA9-238D7EA0537F}"/>
    <cellStyle name="Normal 8 3 2 7 2 3" xfId="12883" xr:uid="{5A38F8F3-4DBE-4694-9590-5955941C3E46}"/>
    <cellStyle name="Normal 8 3 2 7 3" xfId="6514" xr:uid="{00000000-0005-0000-0000-00007D1D0000}"/>
    <cellStyle name="Normal 8 3 2 7 3 2" xfId="14956" xr:uid="{B1623947-4AE6-4FDC-8755-BA5EBD2FFC6C}"/>
    <cellStyle name="Normal 8 3 2 7 4" xfId="10738" xr:uid="{674DE63B-35C1-42D3-AC69-FA3138FE23CD}"/>
    <cellStyle name="Normal 8 3 2 8" xfId="2643" xr:uid="{00000000-0005-0000-0000-00007E1D0000}"/>
    <cellStyle name="Normal 8 3 2 8 2" xfId="6927" xr:uid="{00000000-0005-0000-0000-00007F1D0000}"/>
    <cellStyle name="Normal 8 3 2 8 2 2" xfId="15369" xr:uid="{13D0A221-7B00-4271-9EDB-DD93BE2F9F90}"/>
    <cellStyle name="Normal 8 3 2 8 3" xfId="11151" xr:uid="{A041768F-2B31-45E2-9A4E-C3E043FB8E99}"/>
    <cellStyle name="Normal 8 3 2 9" xfId="4862" xr:uid="{00000000-0005-0000-0000-0000801D0000}"/>
    <cellStyle name="Normal 8 3 2 9 2" xfId="13304" xr:uid="{99FA558D-03C1-4319-A2DF-05232EA80888}"/>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BB590167-4BE6-4E8F-9C24-EF288B208CB1}"/>
    <cellStyle name="Normal 8 3 3 2 2 2 3" xfId="11649" xr:uid="{6285C252-9B7E-482F-A74A-D915AE2926B7}"/>
    <cellStyle name="Normal 8 3 3 2 2 3" xfId="5280" xr:uid="{00000000-0005-0000-0000-0000861D0000}"/>
    <cellStyle name="Normal 8 3 3 2 2 3 2" xfId="13722" xr:uid="{F320609C-C157-4CCC-9CA0-71782065744F}"/>
    <cellStyle name="Normal 8 3 3 2 2 4" xfId="9504" xr:uid="{384C540C-F863-486E-A01D-93CD6692A901}"/>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F60B33F8-F13D-4487-9879-37FF1632A575}"/>
    <cellStyle name="Normal 8 3 3 2 3 2 3" xfId="12062" xr:uid="{E6C9EC09-5A1F-49F4-836D-AC63C03FA355}"/>
    <cellStyle name="Normal 8 3 3 2 3 3" xfId="5693" xr:uid="{00000000-0005-0000-0000-00008A1D0000}"/>
    <cellStyle name="Normal 8 3 3 2 3 3 2" xfId="14135" xr:uid="{B1783AE5-0772-41EB-84D1-54E49CD78F31}"/>
    <cellStyle name="Normal 8 3 3 2 3 4" xfId="9917" xr:uid="{349E53D5-C10D-4D09-BB0D-838B1E739DE2}"/>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EE48F6A8-68D1-4EC4-B69B-D277F18F437F}"/>
    <cellStyle name="Normal 8 3 3 2 4 2 3" xfId="12475" xr:uid="{6F659A4B-BD1B-4A62-A9B8-EEF5D05EDF4A}"/>
    <cellStyle name="Normal 8 3 3 2 4 3" xfId="6106" xr:uid="{00000000-0005-0000-0000-00008E1D0000}"/>
    <cellStyle name="Normal 8 3 3 2 4 3 2" xfId="14548" xr:uid="{ED348661-1A50-4781-B638-C5B976C3B4D7}"/>
    <cellStyle name="Normal 8 3 3 2 4 4" xfId="10330" xr:uid="{F265FBEF-8333-4374-B382-4FB3B1713C86}"/>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64118251-F966-49A7-AF7C-5581CF092D24}"/>
    <cellStyle name="Normal 8 3 3 2 5 2 3" xfId="12888" xr:uid="{DCADE982-CFCC-436E-9B3C-4263FE79292A}"/>
    <cellStyle name="Normal 8 3 3 2 5 3" xfId="6519" xr:uid="{00000000-0005-0000-0000-0000921D0000}"/>
    <cellStyle name="Normal 8 3 3 2 5 3 2" xfId="14961" xr:uid="{2D909B31-9DDC-45ED-A940-B92B168574A0}"/>
    <cellStyle name="Normal 8 3 3 2 5 4" xfId="10743" xr:uid="{EB23EBF0-CA83-4540-9797-35BD60BE8E83}"/>
    <cellStyle name="Normal 8 3 3 2 6" xfId="2648" xr:uid="{00000000-0005-0000-0000-0000931D0000}"/>
    <cellStyle name="Normal 8 3 3 2 6 2" xfId="6932" xr:uid="{00000000-0005-0000-0000-0000941D0000}"/>
    <cellStyle name="Normal 8 3 3 2 6 2 2" xfId="15374" xr:uid="{A1F38E42-94E4-4C31-90D6-4586710A1321}"/>
    <cellStyle name="Normal 8 3 3 2 6 3" xfId="11156" xr:uid="{4ED0DDF1-6BDC-4D6D-9AC1-0E33B4B55EE3}"/>
    <cellStyle name="Normal 8 3 3 2 7" xfId="4867" xr:uid="{00000000-0005-0000-0000-0000951D0000}"/>
    <cellStyle name="Normal 8 3 3 2 7 2" xfId="13309" xr:uid="{8E2D6820-E2A2-4FF1-B65A-6B8B3692185C}"/>
    <cellStyle name="Normal 8 3 3 2 8" xfId="9091" xr:uid="{971463AB-7599-4FEB-B3C9-7FF7E4C5956E}"/>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BDC15F8D-A023-4202-A263-F5CA7C654350}"/>
    <cellStyle name="Normal 8 3 3 3 2 3" xfId="11648" xr:uid="{7CB5FD23-1E22-46A6-8978-F117C9629954}"/>
    <cellStyle name="Normal 8 3 3 3 3" xfId="5279" xr:uid="{00000000-0005-0000-0000-0000991D0000}"/>
    <cellStyle name="Normal 8 3 3 3 3 2" xfId="13721" xr:uid="{746F2644-C821-4FC3-81F4-03F7B7D830A1}"/>
    <cellStyle name="Normal 8 3 3 3 4" xfId="9503" xr:uid="{79FC2AC4-278A-4391-A76F-0CBFEDA483A0}"/>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121FB7BF-9850-4428-A757-9CAC2C3510F9}"/>
    <cellStyle name="Normal 8 3 3 4 2 3" xfId="12061" xr:uid="{4BC6E9CB-1480-473D-8FF0-9FA65140DE28}"/>
    <cellStyle name="Normal 8 3 3 4 3" xfId="5692" xr:uid="{00000000-0005-0000-0000-00009D1D0000}"/>
    <cellStyle name="Normal 8 3 3 4 3 2" xfId="14134" xr:uid="{371B5D77-7DB1-4DAF-BA62-66962C62D2A1}"/>
    <cellStyle name="Normal 8 3 3 4 4" xfId="9916" xr:uid="{D7E40BC1-E05E-434E-AE83-E19AA63AFA12}"/>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8CF070FC-7222-4E81-8A48-CC85FE29143B}"/>
    <cellStyle name="Normal 8 3 3 5 2 3" xfId="12474" xr:uid="{3212DDD4-D3B7-44F7-B9F3-A2188E753FAB}"/>
    <cellStyle name="Normal 8 3 3 5 3" xfId="6105" xr:uid="{00000000-0005-0000-0000-0000A11D0000}"/>
    <cellStyle name="Normal 8 3 3 5 3 2" xfId="14547" xr:uid="{34A43F74-36ED-4AE5-9523-ECE4372BDF4B}"/>
    <cellStyle name="Normal 8 3 3 5 4" xfId="10329" xr:uid="{B1EBC525-49BA-4DA4-BB19-A4317D7AC6D8}"/>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5D57C575-65F0-4BDF-8D98-DAB220DAFC83}"/>
    <cellStyle name="Normal 8 3 3 6 2 3" xfId="12887" xr:uid="{C38CB22B-273B-40B9-AB22-9F2A2E0F1DA1}"/>
    <cellStyle name="Normal 8 3 3 6 3" xfId="6518" xr:uid="{00000000-0005-0000-0000-0000A51D0000}"/>
    <cellStyle name="Normal 8 3 3 6 3 2" xfId="14960" xr:uid="{E35651E2-19CF-426C-96CE-AE0C2D3F6B47}"/>
    <cellStyle name="Normal 8 3 3 6 4" xfId="10742" xr:uid="{56DB756A-90C0-40B3-8A7B-A9251B205330}"/>
    <cellStyle name="Normal 8 3 3 7" xfId="2647" xr:uid="{00000000-0005-0000-0000-0000A61D0000}"/>
    <cellStyle name="Normal 8 3 3 7 2" xfId="6931" xr:uid="{00000000-0005-0000-0000-0000A71D0000}"/>
    <cellStyle name="Normal 8 3 3 7 2 2" xfId="15373" xr:uid="{FCAB4CED-05F0-4992-8098-F265D2045B56}"/>
    <cellStyle name="Normal 8 3 3 7 3" xfId="11155" xr:uid="{945187BF-DC28-4A89-B4E2-1EA6383B3D2F}"/>
    <cellStyle name="Normal 8 3 3 8" xfId="4866" xr:uid="{00000000-0005-0000-0000-0000A81D0000}"/>
    <cellStyle name="Normal 8 3 3 8 2" xfId="13308" xr:uid="{09E268D1-2AD9-4407-B092-F1210349D573}"/>
    <cellStyle name="Normal 8 3 3 9" xfId="9090" xr:uid="{82D85A2A-8937-4284-A3B2-58562BA35C43}"/>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B1A4C253-B7DC-4C18-BDA9-5EC4241D3D13}"/>
    <cellStyle name="Normal 8 3 4 2 2 3" xfId="11650" xr:uid="{4CED3CDC-3AD3-46A9-8CA5-0189B81AA603}"/>
    <cellStyle name="Normal 8 3 4 2 3" xfId="5281" xr:uid="{00000000-0005-0000-0000-0000AD1D0000}"/>
    <cellStyle name="Normal 8 3 4 2 3 2" xfId="13723" xr:uid="{82883498-89EA-401E-932B-79CE8A6F7CB0}"/>
    <cellStyle name="Normal 8 3 4 2 4" xfId="9505" xr:uid="{888C1DEF-837D-4A79-848D-D3F490439050}"/>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25C82B92-75AB-4814-B97B-AAAEDA36E4C4}"/>
    <cellStyle name="Normal 8 3 4 3 2 3" xfId="12063" xr:uid="{BBE245BD-8341-4CBF-AC22-21FEF1CD9952}"/>
    <cellStyle name="Normal 8 3 4 3 3" xfId="5694" xr:uid="{00000000-0005-0000-0000-0000B11D0000}"/>
    <cellStyle name="Normal 8 3 4 3 3 2" xfId="14136" xr:uid="{67FC2189-61E7-4415-9F48-49B0F5FE1F8D}"/>
    <cellStyle name="Normal 8 3 4 3 4" xfId="9918" xr:uid="{33DA12F3-4BC5-4B5D-BF4C-EF970E2E5F9B}"/>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4F8C8814-D2EB-40F0-A3F9-24274455E778}"/>
    <cellStyle name="Normal 8 3 4 4 2 3" xfId="12476" xr:uid="{FC0B9FC8-323F-4200-AB24-F20E2F8CD434}"/>
    <cellStyle name="Normal 8 3 4 4 3" xfId="6107" xr:uid="{00000000-0005-0000-0000-0000B51D0000}"/>
    <cellStyle name="Normal 8 3 4 4 3 2" xfId="14549" xr:uid="{62AC9858-06D0-4192-8CB5-CA781D0BB0BD}"/>
    <cellStyle name="Normal 8 3 4 4 4" xfId="10331" xr:uid="{97062D06-E599-463D-81AE-629DAA6C57A8}"/>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E605573D-1C67-4BF4-9EFA-5F14687D669C}"/>
    <cellStyle name="Normal 8 3 4 5 2 3" xfId="12889" xr:uid="{5056CA89-F387-409C-9E93-7D25950F233A}"/>
    <cellStyle name="Normal 8 3 4 5 3" xfId="6520" xr:uid="{00000000-0005-0000-0000-0000B91D0000}"/>
    <cellStyle name="Normal 8 3 4 5 3 2" xfId="14962" xr:uid="{9BC975DB-9463-4C45-A113-7F658B995B72}"/>
    <cellStyle name="Normal 8 3 4 5 4" xfId="10744" xr:uid="{FED716FE-DB3E-4B85-B594-09F719F8E4CB}"/>
    <cellStyle name="Normal 8 3 4 6" xfId="2649" xr:uid="{00000000-0005-0000-0000-0000BA1D0000}"/>
    <cellStyle name="Normal 8 3 4 6 2" xfId="6933" xr:uid="{00000000-0005-0000-0000-0000BB1D0000}"/>
    <cellStyle name="Normal 8 3 4 6 2 2" xfId="15375" xr:uid="{60C7FE91-D623-4470-AF50-B6499837A3C9}"/>
    <cellStyle name="Normal 8 3 4 6 3" xfId="11157" xr:uid="{C661419E-1EA6-4904-B7A7-BA94CED8ACB2}"/>
    <cellStyle name="Normal 8 3 4 7" xfId="4868" xr:uid="{00000000-0005-0000-0000-0000BC1D0000}"/>
    <cellStyle name="Normal 8 3 4 7 2" xfId="13310" xr:uid="{4E8587C8-CF15-44E8-8641-1494712FA2A3}"/>
    <cellStyle name="Normal 8 3 4 8" xfId="9092" xr:uid="{D4ABF607-E958-497B-8045-A622C029829E}"/>
    <cellStyle name="Normal 8 3 5" xfId="962" xr:uid="{00000000-0005-0000-0000-0000BD1D0000}"/>
    <cellStyle name="Normal 8 3 5 2" xfId="3196" xr:uid="{00000000-0005-0000-0000-0000BE1D0000}"/>
    <cellStyle name="Normal 8 3 5 2 2" xfId="7419" xr:uid="{00000000-0005-0000-0000-0000BF1D0000}"/>
    <cellStyle name="Normal 8 3 5 2 2 2" xfId="15861" xr:uid="{49166284-E022-4EE7-AB79-3BD069AF8B3A}"/>
    <cellStyle name="Normal 8 3 5 2 3" xfId="11643" xr:uid="{2904055B-5624-4863-AB64-038828D00845}"/>
    <cellStyle name="Normal 8 3 5 3" xfId="5274" xr:uid="{00000000-0005-0000-0000-0000C01D0000}"/>
    <cellStyle name="Normal 8 3 5 3 2" xfId="13716" xr:uid="{149FF7B5-C80A-4904-A90B-D3D725BA233B}"/>
    <cellStyle name="Normal 8 3 5 4" xfId="9498" xr:uid="{0532DDD7-6A33-491F-A74A-CD6968FB9A07}"/>
    <cellStyle name="Normal 8 3 6" xfId="1379" xr:uid="{00000000-0005-0000-0000-0000C11D0000}"/>
    <cellStyle name="Normal 8 3 6 2" xfId="3609" xr:uid="{00000000-0005-0000-0000-0000C21D0000}"/>
    <cellStyle name="Normal 8 3 6 2 2" xfId="7832" xr:uid="{00000000-0005-0000-0000-0000C31D0000}"/>
    <cellStyle name="Normal 8 3 6 2 2 2" xfId="16274" xr:uid="{009C09DD-B9AD-4375-BA82-D782CF1D97A3}"/>
    <cellStyle name="Normal 8 3 6 2 3" xfId="12056" xr:uid="{1CD50C93-A6E7-4488-B079-C0E0E854F98C}"/>
    <cellStyle name="Normal 8 3 6 3" xfId="5687" xr:uid="{00000000-0005-0000-0000-0000C41D0000}"/>
    <cellStyle name="Normal 8 3 6 3 2" xfId="14129" xr:uid="{402AF6C6-0FD0-4E24-9749-B1A2727BE4E5}"/>
    <cellStyle name="Normal 8 3 6 4" xfId="9911" xr:uid="{5982D98C-BCF2-4FC7-BD98-D99EEE7E6C2C}"/>
    <cellStyle name="Normal 8 3 7" xfId="1792" xr:uid="{00000000-0005-0000-0000-0000C51D0000}"/>
    <cellStyle name="Normal 8 3 7 2" xfId="4022" xr:uid="{00000000-0005-0000-0000-0000C61D0000}"/>
    <cellStyle name="Normal 8 3 7 2 2" xfId="8245" xr:uid="{00000000-0005-0000-0000-0000C71D0000}"/>
    <cellStyle name="Normal 8 3 7 2 2 2" xfId="16687" xr:uid="{8B1C8E99-2973-4838-A440-AFFE54020C0E}"/>
    <cellStyle name="Normal 8 3 7 2 3" xfId="12469" xr:uid="{B8219A8F-0AAC-41CB-8B55-F26086EA87F2}"/>
    <cellStyle name="Normal 8 3 7 3" xfId="6100" xr:uid="{00000000-0005-0000-0000-0000C81D0000}"/>
    <cellStyle name="Normal 8 3 7 3 2" xfId="14542" xr:uid="{31700CDF-92A8-4B40-851A-323EAF88543E}"/>
    <cellStyle name="Normal 8 3 7 4" xfId="10324" xr:uid="{CDD5A12C-C71D-484C-B7F5-619F99CDB1A8}"/>
    <cellStyle name="Normal 8 3 8" xfId="2206" xr:uid="{00000000-0005-0000-0000-0000C91D0000}"/>
    <cellStyle name="Normal 8 3 8 2" xfId="4435" xr:uid="{00000000-0005-0000-0000-0000CA1D0000}"/>
    <cellStyle name="Normal 8 3 8 2 2" xfId="8658" xr:uid="{00000000-0005-0000-0000-0000CB1D0000}"/>
    <cellStyle name="Normal 8 3 8 2 2 2" xfId="17100" xr:uid="{118CE60F-152F-4E23-85C3-C0199E9C39B0}"/>
    <cellStyle name="Normal 8 3 8 2 3" xfId="12882" xr:uid="{C5BFD7BB-02A6-4A8D-BE65-4086B405B2AA}"/>
    <cellStyle name="Normal 8 3 8 3" xfId="6513" xr:uid="{00000000-0005-0000-0000-0000CC1D0000}"/>
    <cellStyle name="Normal 8 3 8 3 2" xfId="14955" xr:uid="{068CF4CA-CA67-412B-87B1-AF2F907CCD35}"/>
    <cellStyle name="Normal 8 3 8 4" xfId="10737" xr:uid="{182B0AFC-3D2C-4C98-84E9-2A975794F281}"/>
    <cellStyle name="Normal 8 3 9" xfId="2642" xr:uid="{00000000-0005-0000-0000-0000CD1D0000}"/>
    <cellStyle name="Normal 8 3 9 2" xfId="6926" xr:uid="{00000000-0005-0000-0000-0000CE1D0000}"/>
    <cellStyle name="Normal 8 3 9 2 2" xfId="15368" xr:uid="{3AA6926A-11B3-4B3B-A6B6-F0F4D01D078A}"/>
    <cellStyle name="Normal 8 3 9 3" xfId="11150" xr:uid="{500B4329-D03E-4C73-A99D-4D7B21DFBFE5}"/>
    <cellStyle name="Normal 8 4" xfId="503" xr:uid="{00000000-0005-0000-0000-0000CF1D0000}"/>
    <cellStyle name="Normal 8 4 10" xfId="9093" xr:uid="{BA1F821D-8238-46C2-A9B8-3CD9B830E1FA}"/>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022AD961-AEAC-43B6-9005-CAE39F022C53}"/>
    <cellStyle name="Normal 8 4 2 2 2 2 3" xfId="11653" xr:uid="{4E7A1750-E71B-4922-AC3F-2449E6985E8B}"/>
    <cellStyle name="Normal 8 4 2 2 2 3" xfId="5284" xr:uid="{00000000-0005-0000-0000-0000D51D0000}"/>
    <cellStyle name="Normal 8 4 2 2 2 3 2" xfId="13726" xr:uid="{C67B2BF9-B721-4BD3-99D3-DD8D82F2FFC3}"/>
    <cellStyle name="Normal 8 4 2 2 2 4" xfId="9508" xr:uid="{69C36B6C-4764-405F-8D36-BE128297EAA3}"/>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6EC900D7-6E63-47B3-9398-CAD01462B7C1}"/>
    <cellStyle name="Normal 8 4 2 2 3 2 3" xfId="12066" xr:uid="{E12EC951-CA4C-46B1-81B3-2219426080CA}"/>
    <cellStyle name="Normal 8 4 2 2 3 3" xfId="5697" xr:uid="{00000000-0005-0000-0000-0000D91D0000}"/>
    <cellStyle name="Normal 8 4 2 2 3 3 2" xfId="14139" xr:uid="{10F1BF8F-0F3C-4C0C-826B-8390733C49FB}"/>
    <cellStyle name="Normal 8 4 2 2 3 4" xfId="9921" xr:uid="{7516F93A-4BF0-4695-AE4F-11F915AF8794}"/>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3753620B-F723-4111-BDF7-7DD55CA22803}"/>
    <cellStyle name="Normal 8 4 2 2 4 2 3" xfId="12479" xr:uid="{A0B084BC-A378-4E3C-9562-AD5B6600D862}"/>
    <cellStyle name="Normal 8 4 2 2 4 3" xfId="6110" xr:uid="{00000000-0005-0000-0000-0000DD1D0000}"/>
    <cellStyle name="Normal 8 4 2 2 4 3 2" xfId="14552" xr:uid="{4E2ECD30-91A1-47AC-A970-A29B36951141}"/>
    <cellStyle name="Normal 8 4 2 2 4 4" xfId="10334" xr:uid="{BCD9EDB1-EE3A-4BFA-8E6B-94C97252960E}"/>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6A8911F9-22C1-4E30-9601-BFED7AEF0257}"/>
    <cellStyle name="Normal 8 4 2 2 5 2 3" xfId="12892" xr:uid="{F80FE0EB-D779-42EA-88B2-86461D12CD8B}"/>
    <cellStyle name="Normal 8 4 2 2 5 3" xfId="6523" xr:uid="{00000000-0005-0000-0000-0000E11D0000}"/>
    <cellStyle name="Normal 8 4 2 2 5 3 2" xfId="14965" xr:uid="{4F66C6EF-6088-4A6A-982A-34E743324BDA}"/>
    <cellStyle name="Normal 8 4 2 2 5 4" xfId="10747" xr:uid="{D5A0EBF3-5CB9-441A-92E6-AE93F83E1D11}"/>
    <cellStyle name="Normal 8 4 2 2 6" xfId="2652" xr:uid="{00000000-0005-0000-0000-0000E21D0000}"/>
    <cellStyle name="Normal 8 4 2 2 6 2" xfId="6936" xr:uid="{00000000-0005-0000-0000-0000E31D0000}"/>
    <cellStyle name="Normal 8 4 2 2 6 2 2" xfId="15378" xr:uid="{B125C1EC-6823-4288-9287-9456DB5DB8ED}"/>
    <cellStyle name="Normal 8 4 2 2 6 3" xfId="11160" xr:uid="{3B169E9F-2197-407B-9F33-23D4EAB2AE60}"/>
    <cellStyle name="Normal 8 4 2 2 7" xfId="4871" xr:uid="{00000000-0005-0000-0000-0000E41D0000}"/>
    <cellStyle name="Normal 8 4 2 2 7 2" xfId="13313" xr:uid="{16A85E08-4CAA-458B-8BE0-918BC48D6F7C}"/>
    <cellStyle name="Normal 8 4 2 2 8" xfId="9095" xr:uid="{921C5104-FB2D-4AE4-A5A8-E5E8AE76AE48}"/>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76E515E7-F6CE-4A13-98E9-677F37996D10}"/>
    <cellStyle name="Normal 8 4 2 3 2 3" xfId="11652" xr:uid="{BC5B667F-7A38-4585-A628-E0E787B1AF17}"/>
    <cellStyle name="Normal 8 4 2 3 3" xfId="5283" xr:uid="{00000000-0005-0000-0000-0000E81D0000}"/>
    <cellStyle name="Normal 8 4 2 3 3 2" xfId="13725" xr:uid="{7C5A23F7-5A07-44C4-911D-F026BB37903B}"/>
    <cellStyle name="Normal 8 4 2 3 4" xfId="9507" xr:uid="{964B4E32-BCF6-4EDB-A616-F394796600FC}"/>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2E47CDA8-5EC1-4EAB-BC80-1D58A040554A}"/>
    <cellStyle name="Normal 8 4 2 4 2 3" xfId="12065" xr:uid="{5C385691-A42E-4838-97E6-EBF057A56C6C}"/>
    <cellStyle name="Normal 8 4 2 4 3" xfId="5696" xr:uid="{00000000-0005-0000-0000-0000EC1D0000}"/>
    <cellStyle name="Normal 8 4 2 4 3 2" xfId="14138" xr:uid="{E113F621-062B-40FC-9DD1-1CDF72C3E728}"/>
    <cellStyle name="Normal 8 4 2 4 4" xfId="9920" xr:uid="{D178E1AE-B634-44E7-888B-D677F2CF52AE}"/>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118D7F7E-9DF8-4234-9106-9DCB1034DCA1}"/>
    <cellStyle name="Normal 8 4 2 5 2 3" xfId="12478" xr:uid="{3E7C97C3-674D-44F0-8DB9-A7B7DB3E92B8}"/>
    <cellStyle name="Normal 8 4 2 5 3" xfId="6109" xr:uid="{00000000-0005-0000-0000-0000F01D0000}"/>
    <cellStyle name="Normal 8 4 2 5 3 2" xfId="14551" xr:uid="{45B3FD2B-D749-473D-A201-ABFB553BD612}"/>
    <cellStyle name="Normal 8 4 2 5 4" xfId="10333" xr:uid="{49264F86-37A9-44AE-B315-8622435A3E7A}"/>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4581622A-F3A7-4D1E-85B4-52E5B347357F}"/>
    <cellStyle name="Normal 8 4 2 6 2 3" xfId="12891" xr:uid="{D2B27580-26BD-4A5E-B0E5-7BF170A19FA4}"/>
    <cellStyle name="Normal 8 4 2 6 3" xfId="6522" xr:uid="{00000000-0005-0000-0000-0000F41D0000}"/>
    <cellStyle name="Normal 8 4 2 6 3 2" xfId="14964" xr:uid="{949A51C3-5206-4DB8-B877-7F71013B8EC5}"/>
    <cellStyle name="Normal 8 4 2 6 4" xfId="10746" xr:uid="{A2B953F2-9181-4222-8E1D-E47D44698D9F}"/>
    <cellStyle name="Normal 8 4 2 7" xfId="2651" xr:uid="{00000000-0005-0000-0000-0000F51D0000}"/>
    <cellStyle name="Normal 8 4 2 7 2" xfId="6935" xr:uid="{00000000-0005-0000-0000-0000F61D0000}"/>
    <cellStyle name="Normal 8 4 2 7 2 2" xfId="15377" xr:uid="{3BD6AAFA-8AD7-478A-AADF-304344CE8A47}"/>
    <cellStyle name="Normal 8 4 2 7 3" xfId="11159" xr:uid="{E4EE5741-9CB7-4E12-8DE8-E3B6BCE23706}"/>
    <cellStyle name="Normal 8 4 2 8" xfId="4870" xr:uid="{00000000-0005-0000-0000-0000F71D0000}"/>
    <cellStyle name="Normal 8 4 2 8 2" xfId="13312" xr:uid="{58E770B9-FE6E-4333-803C-340941473E8C}"/>
    <cellStyle name="Normal 8 4 2 9" xfId="9094" xr:uid="{00FA809A-D997-4B78-9910-0B8D01D41269}"/>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C9CE9662-D77E-4F9B-9C97-A9F2582F1359}"/>
    <cellStyle name="Normal 8 4 3 2 2 3" xfId="11654" xr:uid="{0C716E50-762C-4F15-806B-D8EFDBE5B41B}"/>
    <cellStyle name="Normal 8 4 3 2 3" xfId="5285" xr:uid="{00000000-0005-0000-0000-0000FC1D0000}"/>
    <cellStyle name="Normal 8 4 3 2 3 2" xfId="13727" xr:uid="{55633A8C-B1D0-4167-9623-2FC5A9207DA7}"/>
    <cellStyle name="Normal 8 4 3 2 4" xfId="9509" xr:uid="{2F4ADDC4-678F-418A-A4F0-2BA7B146ED2C}"/>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650283CC-1333-41B4-ACCF-53B3C41D3B7C}"/>
    <cellStyle name="Normal 8 4 3 3 2 3" xfId="12067" xr:uid="{A79125C7-3D46-4BC9-81D2-880F825AFC97}"/>
    <cellStyle name="Normal 8 4 3 3 3" xfId="5698" xr:uid="{00000000-0005-0000-0000-0000001E0000}"/>
    <cellStyle name="Normal 8 4 3 3 3 2" xfId="14140" xr:uid="{08E9089D-898B-4E46-A002-2BB8763ACC8D}"/>
    <cellStyle name="Normal 8 4 3 3 4" xfId="9922" xr:uid="{6B6B2627-6ACD-484C-B9EA-308E215958AE}"/>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51188E0F-90A9-4CCB-B81F-107CA1FE83D5}"/>
    <cellStyle name="Normal 8 4 3 4 2 3" xfId="12480" xr:uid="{D0447940-B108-4C3D-AFE4-518BDC10690C}"/>
    <cellStyle name="Normal 8 4 3 4 3" xfId="6111" xr:uid="{00000000-0005-0000-0000-0000041E0000}"/>
    <cellStyle name="Normal 8 4 3 4 3 2" xfId="14553" xr:uid="{488889BF-3D04-40AE-B46A-6594DC06AB26}"/>
    <cellStyle name="Normal 8 4 3 4 4" xfId="10335" xr:uid="{C9305606-268B-457A-8FB7-AEAD0903952D}"/>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16023C5D-CAEA-4ED1-997A-3924B110A5E6}"/>
    <cellStyle name="Normal 8 4 3 5 2 3" xfId="12893" xr:uid="{12E25E5D-9353-40A6-A19C-AF5DB7D3EF15}"/>
    <cellStyle name="Normal 8 4 3 5 3" xfId="6524" xr:uid="{00000000-0005-0000-0000-0000081E0000}"/>
    <cellStyle name="Normal 8 4 3 5 3 2" xfId="14966" xr:uid="{AEEC67D6-4DA7-43C0-B43C-2DD81B31EBE5}"/>
    <cellStyle name="Normal 8 4 3 5 4" xfId="10748" xr:uid="{A682CCB8-7327-4D4A-8492-A8983D0B6357}"/>
    <cellStyle name="Normal 8 4 3 6" xfId="2653" xr:uid="{00000000-0005-0000-0000-0000091E0000}"/>
    <cellStyle name="Normal 8 4 3 6 2" xfId="6937" xr:uid="{00000000-0005-0000-0000-00000A1E0000}"/>
    <cellStyle name="Normal 8 4 3 6 2 2" xfId="15379" xr:uid="{BCDE094D-3FF6-4E38-BA69-AA56B7FF6E14}"/>
    <cellStyle name="Normal 8 4 3 6 3" xfId="11161" xr:uid="{A3FAE459-A4C2-4700-8F88-5F9AE308D2DD}"/>
    <cellStyle name="Normal 8 4 3 7" xfId="4872" xr:uid="{00000000-0005-0000-0000-00000B1E0000}"/>
    <cellStyle name="Normal 8 4 3 7 2" xfId="13314" xr:uid="{3B55E611-CAC5-411E-B1AF-E8C1672AC4F1}"/>
    <cellStyle name="Normal 8 4 3 8" xfId="9096" xr:uid="{4E71DABA-AC66-4368-9692-68FDDDFCC8B4}"/>
    <cellStyle name="Normal 8 4 4" xfId="970" xr:uid="{00000000-0005-0000-0000-00000C1E0000}"/>
    <cellStyle name="Normal 8 4 4 2" xfId="3204" xr:uid="{00000000-0005-0000-0000-00000D1E0000}"/>
    <cellStyle name="Normal 8 4 4 2 2" xfId="7427" xr:uid="{00000000-0005-0000-0000-00000E1E0000}"/>
    <cellStyle name="Normal 8 4 4 2 2 2" xfId="15869" xr:uid="{80241A1E-7C73-4EA7-8FD1-234FB6DA7358}"/>
    <cellStyle name="Normal 8 4 4 2 3" xfId="11651" xr:uid="{3FB4F33E-2092-477C-9BF4-0C829D455805}"/>
    <cellStyle name="Normal 8 4 4 3" xfId="5282" xr:uid="{00000000-0005-0000-0000-00000F1E0000}"/>
    <cellStyle name="Normal 8 4 4 3 2" xfId="13724" xr:uid="{10562952-101B-4601-8AD6-850B6D3BA93D}"/>
    <cellStyle name="Normal 8 4 4 4" xfId="9506" xr:uid="{9DC5BBE3-F5F9-45D2-B4F0-55534BDEAFDE}"/>
    <cellStyle name="Normal 8 4 5" xfId="1387" xr:uid="{00000000-0005-0000-0000-0000101E0000}"/>
    <cellStyle name="Normal 8 4 5 2" xfId="3617" xr:uid="{00000000-0005-0000-0000-0000111E0000}"/>
    <cellStyle name="Normal 8 4 5 2 2" xfId="7840" xr:uid="{00000000-0005-0000-0000-0000121E0000}"/>
    <cellStyle name="Normal 8 4 5 2 2 2" xfId="16282" xr:uid="{0FA73536-A595-4D46-B5E9-156A9B7A82FE}"/>
    <cellStyle name="Normal 8 4 5 2 3" xfId="12064" xr:uid="{58A2A983-EA0F-4458-BF58-9EB17C02D4E4}"/>
    <cellStyle name="Normal 8 4 5 3" xfId="5695" xr:uid="{00000000-0005-0000-0000-0000131E0000}"/>
    <cellStyle name="Normal 8 4 5 3 2" xfId="14137" xr:uid="{DDA1DE3A-A461-4016-A6FD-A660FFF40E05}"/>
    <cellStyle name="Normal 8 4 5 4" xfId="9919" xr:uid="{483FF3C7-3495-4977-9DB4-4891E89E62DC}"/>
    <cellStyle name="Normal 8 4 6" xfId="1800" xr:uid="{00000000-0005-0000-0000-0000141E0000}"/>
    <cellStyle name="Normal 8 4 6 2" xfId="4030" xr:uid="{00000000-0005-0000-0000-0000151E0000}"/>
    <cellStyle name="Normal 8 4 6 2 2" xfId="8253" xr:uid="{00000000-0005-0000-0000-0000161E0000}"/>
    <cellStyle name="Normal 8 4 6 2 2 2" xfId="16695" xr:uid="{5348414C-8D0D-41B5-A8A8-66AE6572B881}"/>
    <cellStyle name="Normal 8 4 6 2 3" xfId="12477" xr:uid="{99EDB17F-D995-42C5-BFB5-5E301AD90D12}"/>
    <cellStyle name="Normal 8 4 6 3" xfId="6108" xr:uid="{00000000-0005-0000-0000-0000171E0000}"/>
    <cellStyle name="Normal 8 4 6 3 2" xfId="14550" xr:uid="{9E5DADE2-B015-4AE7-87FE-E44C8C6D6604}"/>
    <cellStyle name="Normal 8 4 6 4" xfId="10332" xr:uid="{87B6D709-491E-463F-90F2-4C90F5E8CE2B}"/>
    <cellStyle name="Normal 8 4 7" xfId="2214" xr:uid="{00000000-0005-0000-0000-0000181E0000}"/>
    <cellStyle name="Normal 8 4 7 2" xfId="4443" xr:uid="{00000000-0005-0000-0000-0000191E0000}"/>
    <cellStyle name="Normal 8 4 7 2 2" xfId="8666" xr:uid="{00000000-0005-0000-0000-00001A1E0000}"/>
    <cellStyle name="Normal 8 4 7 2 2 2" xfId="17108" xr:uid="{5C68A5B6-66A8-4134-A2A5-3F08E3E75613}"/>
    <cellStyle name="Normal 8 4 7 2 3" xfId="12890" xr:uid="{2C087640-D629-438D-976C-2E2F042C611F}"/>
    <cellStyle name="Normal 8 4 7 3" xfId="6521" xr:uid="{00000000-0005-0000-0000-00001B1E0000}"/>
    <cellStyle name="Normal 8 4 7 3 2" xfId="14963" xr:uid="{2CC5457D-D309-4FBD-89BA-B5B153EF8F73}"/>
    <cellStyle name="Normal 8 4 7 4" xfId="10745" xr:uid="{D0FDA0CB-AFA7-4C3A-9460-67F0EF52D963}"/>
    <cellStyle name="Normal 8 4 8" xfId="2650" xr:uid="{00000000-0005-0000-0000-00001C1E0000}"/>
    <cellStyle name="Normal 8 4 8 2" xfId="6934" xr:uid="{00000000-0005-0000-0000-00001D1E0000}"/>
    <cellStyle name="Normal 8 4 8 2 2" xfId="15376" xr:uid="{9071978A-26FC-49C1-87DC-AB6D3423E708}"/>
    <cellStyle name="Normal 8 4 8 3" xfId="11158" xr:uid="{0C0FF4A4-F56C-4932-9071-45DB4B64ACEF}"/>
    <cellStyle name="Normal 8 4 9" xfId="4869" xr:uid="{00000000-0005-0000-0000-00001E1E0000}"/>
    <cellStyle name="Normal 8 4 9 2" xfId="13311" xr:uid="{47CC2F13-E5C3-4FF8-AB26-104AE35A64B7}"/>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C1C20319-54E2-4ADF-8856-A3649FA04A22}"/>
    <cellStyle name="Normal 8 5 2 2 2 3" xfId="11656" xr:uid="{173B7A6D-613B-4F1F-B001-67FFC3D8BC74}"/>
    <cellStyle name="Normal 8 5 2 2 3" xfId="5287" xr:uid="{00000000-0005-0000-0000-0000241E0000}"/>
    <cellStyle name="Normal 8 5 2 2 3 2" xfId="13729" xr:uid="{14B144FD-67BE-4BF6-84E5-2C2372561BF3}"/>
    <cellStyle name="Normal 8 5 2 2 4" xfId="9511" xr:uid="{922950DD-9753-46F0-8054-E97F5C5E09C3}"/>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9FD52317-F71B-4F19-AE8C-A388D0C7CD50}"/>
    <cellStyle name="Normal 8 5 2 3 2 3" xfId="12069" xr:uid="{8BA70129-732D-4372-8931-B1129529EB07}"/>
    <cellStyle name="Normal 8 5 2 3 3" xfId="5700" xr:uid="{00000000-0005-0000-0000-0000281E0000}"/>
    <cellStyle name="Normal 8 5 2 3 3 2" xfId="14142" xr:uid="{3EEDF60E-FDFF-4868-9959-36B006FA47EC}"/>
    <cellStyle name="Normal 8 5 2 3 4" xfId="9924" xr:uid="{E42A9BC6-E504-40EA-B818-64B10ACEF5BB}"/>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9B20A7A6-E261-481C-A27E-C6CC554D2957}"/>
    <cellStyle name="Normal 8 5 2 4 2 3" xfId="12482" xr:uid="{38719769-47C8-4FA2-A5E6-83FBFD5E974F}"/>
    <cellStyle name="Normal 8 5 2 4 3" xfId="6113" xr:uid="{00000000-0005-0000-0000-00002C1E0000}"/>
    <cellStyle name="Normal 8 5 2 4 3 2" xfId="14555" xr:uid="{3649C0ED-2BDF-496C-96F2-6E534FEAF92A}"/>
    <cellStyle name="Normal 8 5 2 4 4" xfId="10337" xr:uid="{34B81302-5660-4616-8A1C-3BEE395EC9E6}"/>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5A165D5B-780B-4471-B0D5-BA4E050A8B9C}"/>
    <cellStyle name="Normal 8 5 2 5 2 3" xfId="12895" xr:uid="{B76CDACA-ACE1-4C9E-9A2F-6521F9185E0F}"/>
    <cellStyle name="Normal 8 5 2 5 3" xfId="6526" xr:uid="{00000000-0005-0000-0000-0000301E0000}"/>
    <cellStyle name="Normal 8 5 2 5 3 2" xfId="14968" xr:uid="{DF5ADB9C-4AA1-4EED-934B-C3FC7421AE7C}"/>
    <cellStyle name="Normal 8 5 2 5 4" xfId="10750" xr:uid="{25EBB588-4051-4931-B93F-1908E184D3FB}"/>
    <cellStyle name="Normal 8 5 2 6" xfId="2655" xr:uid="{00000000-0005-0000-0000-0000311E0000}"/>
    <cellStyle name="Normal 8 5 2 6 2" xfId="6939" xr:uid="{00000000-0005-0000-0000-0000321E0000}"/>
    <cellStyle name="Normal 8 5 2 6 2 2" xfId="15381" xr:uid="{66BFE978-C4FC-4C5C-A30A-3DD50CBCB6D4}"/>
    <cellStyle name="Normal 8 5 2 6 3" xfId="11163" xr:uid="{93B7C611-2A79-4375-8983-30E9856DFFDD}"/>
    <cellStyle name="Normal 8 5 2 7" xfId="4874" xr:uid="{00000000-0005-0000-0000-0000331E0000}"/>
    <cellStyle name="Normal 8 5 2 7 2" xfId="13316" xr:uid="{15520835-5BDA-41AA-AF31-0F2845014381}"/>
    <cellStyle name="Normal 8 5 2 8" xfId="9098" xr:uid="{D8986106-5856-4B83-ABC8-7EC4725207E5}"/>
    <cellStyle name="Normal 8 5 3" xfId="974" xr:uid="{00000000-0005-0000-0000-0000341E0000}"/>
    <cellStyle name="Normal 8 5 3 2" xfId="3208" xr:uid="{00000000-0005-0000-0000-0000351E0000}"/>
    <cellStyle name="Normal 8 5 3 2 2" xfId="7431" xr:uid="{00000000-0005-0000-0000-0000361E0000}"/>
    <cellStyle name="Normal 8 5 3 2 2 2" xfId="15873" xr:uid="{29186D51-6876-4893-A3D1-FB5F13993FA6}"/>
    <cellStyle name="Normal 8 5 3 2 3" xfId="11655" xr:uid="{D2C98739-5BFD-46B5-BCFA-6EA84BC94EB0}"/>
    <cellStyle name="Normal 8 5 3 3" xfId="5286" xr:uid="{00000000-0005-0000-0000-0000371E0000}"/>
    <cellStyle name="Normal 8 5 3 3 2" xfId="13728" xr:uid="{0E9F2440-B332-4147-9410-9719AFAE973E}"/>
    <cellStyle name="Normal 8 5 3 4" xfId="9510" xr:uid="{21350FC5-E8D1-4729-A9F2-1B49797B5E61}"/>
    <cellStyle name="Normal 8 5 4" xfId="1391" xr:uid="{00000000-0005-0000-0000-0000381E0000}"/>
    <cellStyle name="Normal 8 5 4 2" xfId="3621" xr:uid="{00000000-0005-0000-0000-0000391E0000}"/>
    <cellStyle name="Normal 8 5 4 2 2" xfId="7844" xr:uid="{00000000-0005-0000-0000-00003A1E0000}"/>
    <cellStyle name="Normal 8 5 4 2 2 2" xfId="16286" xr:uid="{2ABDCD02-301F-4E30-B73B-CA1DB9CBC4C7}"/>
    <cellStyle name="Normal 8 5 4 2 3" xfId="12068" xr:uid="{E22D7A6D-CE1F-425A-BCFC-194283F4AA43}"/>
    <cellStyle name="Normal 8 5 4 3" xfId="5699" xr:uid="{00000000-0005-0000-0000-00003B1E0000}"/>
    <cellStyle name="Normal 8 5 4 3 2" xfId="14141" xr:uid="{6BBEFD8B-D41F-4097-8A9C-E7DADE304B64}"/>
    <cellStyle name="Normal 8 5 4 4" xfId="9923" xr:uid="{97E4423A-8554-4131-AFE9-3BD5E86493A5}"/>
    <cellStyle name="Normal 8 5 5" xfId="1804" xr:uid="{00000000-0005-0000-0000-00003C1E0000}"/>
    <cellStyle name="Normal 8 5 5 2" xfId="4034" xr:uid="{00000000-0005-0000-0000-00003D1E0000}"/>
    <cellStyle name="Normal 8 5 5 2 2" xfId="8257" xr:uid="{00000000-0005-0000-0000-00003E1E0000}"/>
    <cellStyle name="Normal 8 5 5 2 2 2" xfId="16699" xr:uid="{C2BACF67-7612-4F66-96EB-B71AF9309BBE}"/>
    <cellStyle name="Normal 8 5 5 2 3" xfId="12481" xr:uid="{DBB5140D-0E2A-4B4C-8DFA-1881CF0577FB}"/>
    <cellStyle name="Normal 8 5 5 3" xfId="6112" xr:uid="{00000000-0005-0000-0000-00003F1E0000}"/>
    <cellStyle name="Normal 8 5 5 3 2" xfId="14554" xr:uid="{9F6B9B98-93C2-403F-85AA-12C173321CD8}"/>
    <cellStyle name="Normal 8 5 5 4" xfId="10336" xr:uid="{977F7187-23C1-4C07-B562-FA2A881B3002}"/>
    <cellStyle name="Normal 8 5 6" xfId="2218" xr:uid="{00000000-0005-0000-0000-0000401E0000}"/>
    <cellStyle name="Normal 8 5 6 2" xfId="4447" xr:uid="{00000000-0005-0000-0000-0000411E0000}"/>
    <cellStyle name="Normal 8 5 6 2 2" xfId="8670" xr:uid="{00000000-0005-0000-0000-0000421E0000}"/>
    <cellStyle name="Normal 8 5 6 2 2 2" xfId="17112" xr:uid="{E5BDC6A1-9033-4B3F-A9E7-5D79CC0AB917}"/>
    <cellStyle name="Normal 8 5 6 2 3" xfId="12894" xr:uid="{F0E50793-56C2-45B4-A17C-EA0CF4DF7084}"/>
    <cellStyle name="Normal 8 5 6 3" xfId="6525" xr:uid="{00000000-0005-0000-0000-0000431E0000}"/>
    <cellStyle name="Normal 8 5 6 3 2" xfId="14967" xr:uid="{3CB210DD-D1EC-4115-9A3C-35583AACDD25}"/>
    <cellStyle name="Normal 8 5 6 4" xfId="10749" xr:uid="{2FC24AEE-2714-4D88-B2A2-223E37997A88}"/>
    <cellStyle name="Normal 8 5 7" xfId="2654" xr:uid="{00000000-0005-0000-0000-0000441E0000}"/>
    <cellStyle name="Normal 8 5 7 2" xfId="6938" xr:uid="{00000000-0005-0000-0000-0000451E0000}"/>
    <cellStyle name="Normal 8 5 7 2 2" xfId="15380" xr:uid="{0207D770-5330-45CA-8606-3DB862E80775}"/>
    <cellStyle name="Normal 8 5 7 3" xfId="11162" xr:uid="{12347EBC-5E95-4A11-A606-13629062B7B7}"/>
    <cellStyle name="Normal 8 5 8" xfId="4873" xr:uid="{00000000-0005-0000-0000-0000461E0000}"/>
    <cellStyle name="Normal 8 5 8 2" xfId="13315" xr:uid="{AB8FABE5-4F8E-4FAF-BF90-0547844E7081}"/>
    <cellStyle name="Normal 8 5 9" xfId="9097" xr:uid="{652B59A0-A5AF-4C87-8160-01EEB0D0A858}"/>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E812F691-1012-4C28-B861-7D5C7933CC31}"/>
    <cellStyle name="Normal 8 6 2 2 3" xfId="11657" xr:uid="{AF92158E-7338-4461-9CD7-C6F866305DEF}"/>
    <cellStyle name="Normal 8 6 2 3" xfId="5288" xr:uid="{00000000-0005-0000-0000-00004B1E0000}"/>
    <cellStyle name="Normal 8 6 2 3 2" xfId="13730" xr:uid="{9FFDDC3B-088D-4BCD-8532-96DBD5B134E7}"/>
    <cellStyle name="Normal 8 6 2 4" xfId="9512" xr:uid="{C4B44029-826E-44D8-9467-7464A639C721}"/>
    <cellStyle name="Normal 8 6 3" xfId="1393" xr:uid="{00000000-0005-0000-0000-00004C1E0000}"/>
    <cellStyle name="Normal 8 6 3 2" xfId="3623" xr:uid="{00000000-0005-0000-0000-00004D1E0000}"/>
    <cellStyle name="Normal 8 6 3 2 2" xfId="7846" xr:uid="{00000000-0005-0000-0000-00004E1E0000}"/>
    <cellStyle name="Normal 8 6 3 2 2 2" xfId="16288" xr:uid="{9E75EFC4-FA30-431E-93C4-197C2FF383DE}"/>
    <cellStyle name="Normal 8 6 3 2 3" xfId="12070" xr:uid="{6B92A7E7-1084-4D07-B786-8511BB4D68E9}"/>
    <cellStyle name="Normal 8 6 3 3" xfId="5701" xr:uid="{00000000-0005-0000-0000-00004F1E0000}"/>
    <cellStyle name="Normal 8 6 3 3 2" xfId="14143" xr:uid="{D7F5572B-27D7-415F-A058-6CF96EF6B739}"/>
    <cellStyle name="Normal 8 6 3 4" xfId="9925" xr:uid="{D3BAE999-896E-47B1-A62F-3463E91411DF}"/>
    <cellStyle name="Normal 8 6 4" xfId="1806" xr:uid="{00000000-0005-0000-0000-0000501E0000}"/>
    <cellStyle name="Normal 8 6 4 2" xfId="4036" xr:uid="{00000000-0005-0000-0000-0000511E0000}"/>
    <cellStyle name="Normal 8 6 4 2 2" xfId="8259" xr:uid="{00000000-0005-0000-0000-0000521E0000}"/>
    <cellStyle name="Normal 8 6 4 2 2 2" xfId="16701" xr:uid="{47A8CB5C-D5A5-43A3-AFDD-58EF9898BADF}"/>
    <cellStyle name="Normal 8 6 4 2 3" xfId="12483" xr:uid="{255EE075-D120-4F54-9E59-E1BDFAC48797}"/>
    <cellStyle name="Normal 8 6 4 3" xfId="6114" xr:uid="{00000000-0005-0000-0000-0000531E0000}"/>
    <cellStyle name="Normal 8 6 4 3 2" xfId="14556" xr:uid="{665E9F0D-4A7F-4147-8A7D-7A2939C171A0}"/>
    <cellStyle name="Normal 8 6 4 4" xfId="10338" xr:uid="{0479C3FB-35AC-45AF-B3D3-A0387210B00C}"/>
    <cellStyle name="Normal 8 6 5" xfId="2220" xr:uid="{00000000-0005-0000-0000-0000541E0000}"/>
    <cellStyle name="Normal 8 6 5 2" xfId="4449" xr:uid="{00000000-0005-0000-0000-0000551E0000}"/>
    <cellStyle name="Normal 8 6 5 2 2" xfId="8672" xr:uid="{00000000-0005-0000-0000-0000561E0000}"/>
    <cellStyle name="Normal 8 6 5 2 2 2" xfId="17114" xr:uid="{DFFC6623-D73C-40BB-A8CE-57E7A9C787D9}"/>
    <cellStyle name="Normal 8 6 5 2 3" xfId="12896" xr:uid="{D065EF7D-B9C7-4C2A-9FA5-258F79301121}"/>
    <cellStyle name="Normal 8 6 5 3" xfId="6527" xr:uid="{00000000-0005-0000-0000-0000571E0000}"/>
    <cellStyle name="Normal 8 6 5 3 2" xfId="14969" xr:uid="{B9B37892-3550-4DBA-9978-608D30F70BF4}"/>
    <cellStyle name="Normal 8 6 5 4" xfId="10751" xr:uid="{A18A07CD-3CC0-4E11-A47D-767E22DB18C3}"/>
    <cellStyle name="Normal 8 6 6" xfId="2656" xr:uid="{00000000-0005-0000-0000-0000581E0000}"/>
    <cellStyle name="Normal 8 6 6 2" xfId="6940" xr:uid="{00000000-0005-0000-0000-0000591E0000}"/>
    <cellStyle name="Normal 8 6 6 2 2" xfId="15382" xr:uid="{34849901-C563-4AF2-8BB1-D46A3F786FE9}"/>
    <cellStyle name="Normal 8 6 6 3" xfId="11164" xr:uid="{85A42BA2-0E6B-41BB-8CA6-AC8070D01269}"/>
    <cellStyle name="Normal 8 6 7" xfId="4875" xr:uid="{00000000-0005-0000-0000-00005A1E0000}"/>
    <cellStyle name="Normal 8 6 7 2" xfId="13317" xr:uid="{C908984F-36AF-480A-A4DE-BAE71C4DF7E3}"/>
    <cellStyle name="Normal 8 6 8" xfId="9099" xr:uid="{096F2998-041E-4B65-BFAF-B9BECC9E1337}"/>
    <cellStyle name="Normal 8 7" xfId="945" xr:uid="{00000000-0005-0000-0000-00005B1E0000}"/>
    <cellStyle name="Normal 8 7 2" xfId="3179" xr:uid="{00000000-0005-0000-0000-00005C1E0000}"/>
    <cellStyle name="Normal 8 7 2 2" xfId="7402" xr:uid="{00000000-0005-0000-0000-00005D1E0000}"/>
    <cellStyle name="Normal 8 7 2 2 2" xfId="15844" xr:uid="{FDB26C2A-2780-4D99-BDBD-88AA44DBFD47}"/>
    <cellStyle name="Normal 8 7 2 3" xfId="11626" xr:uid="{AABAD1FC-D9C3-4A21-96C7-220DC4A0E0D9}"/>
    <cellStyle name="Normal 8 7 3" xfId="5257" xr:uid="{00000000-0005-0000-0000-00005E1E0000}"/>
    <cellStyle name="Normal 8 7 3 2" xfId="13699" xr:uid="{BF836B4F-DC3D-420A-BF1C-F0950E346B81}"/>
    <cellStyle name="Normal 8 7 4" xfId="9481" xr:uid="{3363D883-A777-4ECE-B9D9-8AAA933B856C}"/>
    <cellStyle name="Normal 8 8" xfId="1362" xr:uid="{00000000-0005-0000-0000-00005F1E0000}"/>
    <cellStyle name="Normal 8 8 2" xfId="3592" xr:uid="{00000000-0005-0000-0000-0000601E0000}"/>
    <cellStyle name="Normal 8 8 2 2" xfId="7815" xr:uid="{00000000-0005-0000-0000-0000611E0000}"/>
    <cellStyle name="Normal 8 8 2 2 2" xfId="16257" xr:uid="{9C49FCDD-0F2C-4281-8DFC-A70CF4DC363B}"/>
    <cellStyle name="Normal 8 8 2 3" xfId="12039" xr:uid="{2BF29BDC-4A2C-44ED-8C57-95AD8CEFFC5B}"/>
    <cellStyle name="Normal 8 8 3" xfId="5670" xr:uid="{00000000-0005-0000-0000-0000621E0000}"/>
    <cellStyle name="Normal 8 8 3 2" xfId="14112" xr:uid="{B4C9BB26-39C1-4CE3-ABE5-EE201E02624E}"/>
    <cellStyle name="Normal 8 8 4" xfId="9894" xr:uid="{B5DC2908-8B36-42F3-8EE1-EC9B9B72ADE0}"/>
    <cellStyle name="Normal 8 9" xfId="1775" xr:uid="{00000000-0005-0000-0000-0000631E0000}"/>
    <cellStyle name="Normal 8 9 2" xfId="4005" xr:uid="{00000000-0005-0000-0000-0000641E0000}"/>
    <cellStyle name="Normal 8 9 2 2" xfId="8228" xr:uid="{00000000-0005-0000-0000-0000651E0000}"/>
    <cellStyle name="Normal 8 9 2 2 2" xfId="16670" xr:uid="{4C43D0A3-1EEA-478F-B329-BC4F35B1CE2E}"/>
    <cellStyle name="Normal 8 9 2 3" xfId="12452" xr:uid="{76F3FF56-292D-44FE-AB5E-12B2E9B8CCE3}"/>
    <cellStyle name="Normal 8 9 3" xfId="6083" xr:uid="{00000000-0005-0000-0000-0000661E0000}"/>
    <cellStyle name="Normal 8 9 3 2" xfId="14525" xr:uid="{CDD4EEB4-8AFA-478E-B8E0-2E80921FC742}"/>
    <cellStyle name="Normal 8 9 4" xfId="10307" xr:uid="{F48742AE-1CF5-4E4D-A3AB-3F1ACC51CE49}"/>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A027B173-3944-4CA5-823F-3A723CB2265F}"/>
    <cellStyle name="Normal 9 2 10 3" xfId="11165" xr:uid="{DBA77BAF-A3C5-464A-9CE1-DB50A47894F1}"/>
    <cellStyle name="Normal 9 2 11" xfId="4876" xr:uid="{00000000-0005-0000-0000-00006B1E0000}"/>
    <cellStyle name="Normal 9 2 11 2" xfId="13318" xr:uid="{83A8BDBC-758A-4EA5-B730-9F7F058B26F8}"/>
    <cellStyle name="Normal 9 2 12" xfId="9100" xr:uid="{379DDAFF-840E-40B0-A34E-8FC58B030385}"/>
    <cellStyle name="Normal 9 2 2" xfId="512" xr:uid="{00000000-0005-0000-0000-00006C1E0000}"/>
    <cellStyle name="Normal 9 2 2 10" xfId="4877" xr:uid="{00000000-0005-0000-0000-00006D1E0000}"/>
    <cellStyle name="Normal 9 2 2 10 2" xfId="13319" xr:uid="{4964CE32-58EB-4B2F-8742-83BD74B37B54}"/>
    <cellStyle name="Normal 9 2 2 11" xfId="9101" xr:uid="{ADF99BAC-FAEF-41F6-9FB3-856984FC54A8}"/>
    <cellStyle name="Normal 9 2 2 2" xfId="513" xr:uid="{00000000-0005-0000-0000-00006E1E0000}"/>
    <cellStyle name="Normal 9 2 2 2 10" xfId="9102" xr:uid="{C19F446A-DA1C-46FC-8957-F2006A3F0CF9}"/>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A14BFB01-22FB-48F6-82C8-C018FB20D4F8}"/>
    <cellStyle name="Normal 9 2 2 2 2 2 2 2 3" xfId="11662" xr:uid="{9F435AC5-4730-41F5-B234-46F75790A8FA}"/>
    <cellStyle name="Normal 9 2 2 2 2 2 2 3" xfId="5293" xr:uid="{00000000-0005-0000-0000-0000741E0000}"/>
    <cellStyle name="Normal 9 2 2 2 2 2 2 3 2" xfId="13735" xr:uid="{D5C56222-51FE-45B3-923F-892FEDE9B1C2}"/>
    <cellStyle name="Normal 9 2 2 2 2 2 2 4" xfId="9517" xr:uid="{31DE1323-1EAF-4892-AE85-999675D6656A}"/>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283E73F9-9673-46B1-8A44-35F7DB600601}"/>
    <cellStyle name="Normal 9 2 2 2 2 2 3 2 3" xfId="12075" xr:uid="{EF92847B-15B5-46E5-8696-E8C69FABFCB5}"/>
    <cellStyle name="Normal 9 2 2 2 2 2 3 3" xfId="5706" xr:uid="{00000000-0005-0000-0000-0000781E0000}"/>
    <cellStyle name="Normal 9 2 2 2 2 2 3 3 2" xfId="14148" xr:uid="{57753E68-D54C-4F11-B3A8-15C4FC6610B5}"/>
    <cellStyle name="Normal 9 2 2 2 2 2 3 4" xfId="9930" xr:uid="{D737ECAD-643B-4CA2-9752-513BAFD467E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00174FB2-34EE-4E6E-BFE9-C7AAF6845BB4}"/>
    <cellStyle name="Normal 9 2 2 2 2 2 4 2 3" xfId="12488" xr:uid="{4B2B6CB3-6C15-4CFF-9BA8-400458CAAF28}"/>
    <cellStyle name="Normal 9 2 2 2 2 2 4 3" xfId="6119" xr:uid="{00000000-0005-0000-0000-00007C1E0000}"/>
    <cellStyle name="Normal 9 2 2 2 2 2 4 3 2" xfId="14561" xr:uid="{800AD883-F600-4C7C-8D4B-7A3A58F078CA}"/>
    <cellStyle name="Normal 9 2 2 2 2 2 4 4" xfId="10343" xr:uid="{C2D81EB7-343C-4DF8-8336-C1DF663F3A8E}"/>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6EF69270-206C-4DC5-8496-C716C97AFD37}"/>
    <cellStyle name="Normal 9 2 2 2 2 2 5 2 3" xfId="12901" xr:uid="{F4D0774E-373F-4E06-A5EF-19E92DF005A9}"/>
    <cellStyle name="Normal 9 2 2 2 2 2 5 3" xfId="6532" xr:uid="{00000000-0005-0000-0000-0000801E0000}"/>
    <cellStyle name="Normal 9 2 2 2 2 2 5 3 2" xfId="14974" xr:uid="{BB8504D1-247B-4135-95B9-593EF3E33DDC}"/>
    <cellStyle name="Normal 9 2 2 2 2 2 5 4" xfId="10756" xr:uid="{25CBDDE6-1520-43A4-952E-600FB59BFEFB}"/>
    <cellStyle name="Normal 9 2 2 2 2 2 6" xfId="2661" xr:uid="{00000000-0005-0000-0000-0000811E0000}"/>
    <cellStyle name="Normal 9 2 2 2 2 2 6 2" xfId="6945" xr:uid="{00000000-0005-0000-0000-0000821E0000}"/>
    <cellStyle name="Normal 9 2 2 2 2 2 6 2 2" xfId="15387" xr:uid="{C2B2A8BF-72E8-4B98-9394-88D5B4B5435E}"/>
    <cellStyle name="Normal 9 2 2 2 2 2 6 3" xfId="11169" xr:uid="{D473F5DF-E717-44F5-BB84-4D8E4882FA6E}"/>
    <cellStyle name="Normal 9 2 2 2 2 2 7" xfId="4880" xr:uid="{00000000-0005-0000-0000-0000831E0000}"/>
    <cellStyle name="Normal 9 2 2 2 2 2 7 2" xfId="13322" xr:uid="{F97D9CA2-6E91-4611-9F45-885598C1278D}"/>
    <cellStyle name="Normal 9 2 2 2 2 2 8" xfId="9104" xr:uid="{66A73C18-231B-412E-A957-B86B1BB00301}"/>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C1171F62-714E-4502-8967-EDB1DDA29788}"/>
    <cellStyle name="Normal 9 2 2 2 2 3 2 3" xfId="11661" xr:uid="{7AA118D3-4AE1-4143-887D-B6D6EAF2EEC5}"/>
    <cellStyle name="Normal 9 2 2 2 2 3 3" xfId="5292" xr:uid="{00000000-0005-0000-0000-0000871E0000}"/>
    <cellStyle name="Normal 9 2 2 2 2 3 3 2" xfId="13734" xr:uid="{21C016E9-B723-4493-A3FB-AADB4E79C01F}"/>
    <cellStyle name="Normal 9 2 2 2 2 3 4" xfId="9516" xr:uid="{68219666-C544-422F-9F86-7236F6010229}"/>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691EFFB0-CB90-4888-A810-4D104373BAD9}"/>
    <cellStyle name="Normal 9 2 2 2 2 4 2 3" xfId="12074" xr:uid="{2D1D315D-4CBB-4C78-9110-D7775C5B2E15}"/>
    <cellStyle name="Normal 9 2 2 2 2 4 3" xfId="5705" xr:uid="{00000000-0005-0000-0000-00008B1E0000}"/>
    <cellStyle name="Normal 9 2 2 2 2 4 3 2" xfId="14147" xr:uid="{383AA56D-E7F5-4D98-AB09-0592D4370EF6}"/>
    <cellStyle name="Normal 9 2 2 2 2 4 4" xfId="9929" xr:uid="{BAD3C17F-5983-4D0D-806E-9D32FE2DC0B4}"/>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3FAC068A-879B-4684-87A1-335C54B38BA7}"/>
    <cellStyle name="Normal 9 2 2 2 2 5 2 3" xfId="12487" xr:uid="{DACB8C1C-59B1-4F85-8ECE-F5DFC7262778}"/>
    <cellStyle name="Normal 9 2 2 2 2 5 3" xfId="6118" xr:uid="{00000000-0005-0000-0000-00008F1E0000}"/>
    <cellStyle name="Normal 9 2 2 2 2 5 3 2" xfId="14560" xr:uid="{1A4299FA-1F53-4574-A7D2-BCDC247A0BED}"/>
    <cellStyle name="Normal 9 2 2 2 2 5 4" xfId="10342" xr:uid="{F80C5824-C7E3-43A1-B288-18D21B3DEAE3}"/>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629C916F-D533-48A9-A893-A3FB9D8C3A6D}"/>
    <cellStyle name="Normal 9 2 2 2 2 6 2 3" xfId="12900" xr:uid="{6C07B85B-2260-40A8-8387-B3A592D94589}"/>
    <cellStyle name="Normal 9 2 2 2 2 6 3" xfId="6531" xr:uid="{00000000-0005-0000-0000-0000931E0000}"/>
    <cellStyle name="Normal 9 2 2 2 2 6 3 2" xfId="14973" xr:uid="{74F04BF3-FE54-438E-A363-6D097FA42B1E}"/>
    <cellStyle name="Normal 9 2 2 2 2 6 4" xfId="10755" xr:uid="{3CABC432-AA5C-41A7-B008-376F9B151ADC}"/>
    <cellStyle name="Normal 9 2 2 2 2 7" xfId="2660" xr:uid="{00000000-0005-0000-0000-0000941E0000}"/>
    <cellStyle name="Normal 9 2 2 2 2 7 2" xfId="6944" xr:uid="{00000000-0005-0000-0000-0000951E0000}"/>
    <cellStyle name="Normal 9 2 2 2 2 7 2 2" xfId="15386" xr:uid="{513EE83B-29A5-4299-94C7-10EA028A655A}"/>
    <cellStyle name="Normal 9 2 2 2 2 7 3" xfId="11168" xr:uid="{8D82C088-1D51-4F56-A6B7-7E2776EE4DCB}"/>
    <cellStyle name="Normal 9 2 2 2 2 8" xfId="4879" xr:uid="{00000000-0005-0000-0000-0000961E0000}"/>
    <cellStyle name="Normal 9 2 2 2 2 8 2" xfId="13321" xr:uid="{35FBF02F-7C4C-4CEE-A391-1C0E7808D2CD}"/>
    <cellStyle name="Normal 9 2 2 2 2 9" xfId="9103" xr:uid="{B959CDF2-5753-4879-8C63-AAC74C6D6CFB}"/>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AAE40400-A699-446F-950E-1DD1DECACA46}"/>
    <cellStyle name="Normal 9 2 2 2 3 2 2 3" xfId="11663" xr:uid="{EDB32F63-C32A-4C2A-8F0F-537DD3AB8FAC}"/>
    <cellStyle name="Normal 9 2 2 2 3 2 3" xfId="5294" xr:uid="{00000000-0005-0000-0000-00009B1E0000}"/>
    <cellStyle name="Normal 9 2 2 2 3 2 3 2" xfId="13736" xr:uid="{0755AEE5-5264-4503-B7BA-C636F82821AB}"/>
    <cellStyle name="Normal 9 2 2 2 3 2 4" xfId="9518" xr:uid="{2C9B5BDE-FAB9-432A-B524-467A9E5B8218}"/>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00ED5801-A497-44C2-982F-1D52087B84DA}"/>
    <cellStyle name="Normal 9 2 2 2 3 3 2 3" xfId="12076" xr:uid="{693DE7FC-E4AB-4D79-BF14-68D1DA1CF168}"/>
    <cellStyle name="Normal 9 2 2 2 3 3 3" xfId="5707" xr:uid="{00000000-0005-0000-0000-00009F1E0000}"/>
    <cellStyle name="Normal 9 2 2 2 3 3 3 2" xfId="14149" xr:uid="{6BFEC980-B9D5-4C3B-BA73-4987151A30D5}"/>
    <cellStyle name="Normal 9 2 2 2 3 3 4" xfId="9931" xr:uid="{4D57256E-5142-4C43-9DE2-0300788E90AD}"/>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B1F69C18-273F-4855-964F-EE4816BD572B}"/>
    <cellStyle name="Normal 9 2 2 2 3 4 2 3" xfId="12489" xr:uid="{7B300A25-28FB-4B36-9B31-10DCCE50D67B}"/>
    <cellStyle name="Normal 9 2 2 2 3 4 3" xfId="6120" xr:uid="{00000000-0005-0000-0000-0000A31E0000}"/>
    <cellStyle name="Normal 9 2 2 2 3 4 3 2" xfId="14562" xr:uid="{9523B4A5-4556-4CEB-BBB6-4A2A148A9CA7}"/>
    <cellStyle name="Normal 9 2 2 2 3 4 4" xfId="10344" xr:uid="{E7571067-1FA3-4647-8C83-D77435AE207A}"/>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41675482-FD96-437D-9346-A4B88891A5F7}"/>
    <cellStyle name="Normal 9 2 2 2 3 5 2 3" xfId="12902" xr:uid="{7EBDE991-9A24-4E28-8694-25678E4340ED}"/>
    <cellStyle name="Normal 9 2 2 2 3 5 3" xfId="6533" xr:uid="{00000000-0005-0000-0000-0000A71E0000}"/>
    <cellStyle name="Normal 9 2 2 2 3 5 3 2" xfId="14975" xr:uid="{6FBDB86C-121E-45D9-A309-2C76240F4A55}"/>
    <cellStyle name="Normal 9 2 2 2 3 5 4" xfId="10757" xr:uid="{FB40D125-FF47-4A73-BB8D-C88C051C32D1}"/>
    <cellStyle name="Normal 9 2 2 2 3 6" xfId="2662" xr:uid="{00000000-0005-0000-0000-0000A81E0000}"/>
    <cellStyle name="Normal 9 2 2 2 3 6 2" xfId="6946" xr:uid="{00000000-0005-0000-0000-0000A91E0000}"/>
    <cellStyle name="Normal 9 2 2 2 3 6 2 2" xfId="15388" xr:uid="{9DF4A9B9-D528-45F5-9FF0-AA0BBE5EF468}"/>
    <cellStyle name="Normal 9 2 2 2 3 6 3" xfId="11170" xr:uid="{DE6B8D05-A02D-4B22-AA84-9C9993ACEA05}"/>
    <cellStyle name="Normal 9 2 2 2 3 7" xfId="4881" xr:uid="{00000000-0005-0000-0000-0000AA1E0000}"/>
    <cellStyle name="Normal 9 2 2 2 3 7 2" xfId="13323" xr:uid="{11DE1E95-0248-490E-8BEF-D041D0593B64}"/>
    <cellStyle name="Normal 9 2 2 2 3 8" xfId="9105" xr:uid="{D84A335D-77C5-40D3-A464-93C0082F14E8}"/>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65AD0288-B83A-476A-BF21-90285B9FEEBA}"/>
    <cellStyle name="Normal 9 2 2 2 4 2 3" xfId="11660" xr:uid="{6D7E5D8B-8ED0-454A-A401-35E0A43172EE}"/>
    <cellStyle name="Normal 9 2 2 2 4 3" xfId="5291" xr:uid="{00000000-0005-0000-0000-0000AE1E0000}"/>
    <cellStyle name="Normal 9 2 2 2 4 3 2" xfId="13733" xr:uid="{71D322D1-100C-46A4-A896-BE827AD8E356}"/>
    <cellStyle name="Normal 9 2 2 2 4 4" xfId="9515" xr:uid="{AF9F70DA-1286-4FD2-B3B7-C9595A9EC906}"/>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1662F1AE-2928-4FA2-9869-247AE78FEA21}"/>
    <cellStyle name="Normal 9 2 2 2 5 2 3" xfId="12073" xr:uid="{FF5008B6-5FC6-46A0-A657-052A40DC8816}"/>
    <cellStyle name="Normal 9 2 2 2 5 3" xfId="5704" xr:uid="{00000000-0005-0000-0000-0000B21E0000}"/>
    <cellStyle name="Normal 9 2 2 2 5 3 2" xfId="14146" xr:uid="{54FC4D51-6384-462E-AEAF-9D2431502198}"/>
    <cellStyle name="Normal 9 2 2 2 5 4" xfId="9928" xr:uid="{1A12B936-6E65-4DC5-95B0-1458452B112F}"/>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4442B336-D2C5-45BD-B9EC-E8AB06F8AE0A}"/>
    <cellStyle name="Normal 9 2 2 2 6 2 3" xfId="12486" xr:uid="{FA414EB3-9198-4967-9C6D-E2E6CCE44086}"/>
    <cellStyle name="Normal 9 2 2 2 6 3" xfId="6117" xr:uid="{00000000-0005-0000-0000-0000B61E0000}"/>
    <cellStyle name="Normal 9 2 2 2 6 3 2" xfId="14559" xr:uid="{DEA25100-6075-4AD5-9E4C-0272DBD7D55C}"/>
    <cellStyle name="Normal 9 2 2 2 6 4" xfId="10341" xr:uid="{1CF0BC55-2C2F-4D5F-842A-26A599B4F8DB}"/>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05296DB2-0DB3-46AF-89B2-84144059AAF0}"/>
    <cellStyle name="Normal 9 2 2 2 7 2 3" xfId="12899" xr:uid="{5EB2AE85-ABE1-4C8D-87FB-D3E5535D24CF}"/>
    <cellStyle name="Normal 9 2 2 2 7 3" xfId="6530" xr:uid="{00000000-0005-0000-0000-0000BA1E0000}"/>
    <cellStyle name="Normal 9 2 2 2 7 3 2" xfId="14972" xr:uid="{18B086A4-6A02-4EC6-A59C-048227710648}"/>
    <cellStyle name="Normal 9 2 2 2 7 4" xfId="10754" xr:uid="{33D97C0C-3E7C-46AA-A94C-1FFD3611C159}"/>
    <cellStyle name="Normal 9 2 2 2 8" xfId="2659" xr:uid="{00000000-0005-0000-0000-0000BB1E0000}"/>
    <cellStyle name="Normal 9 2 2 2 8 2" xfId="6943" xr:uid="{00000000-0005-0000-0000-0000BC1E0000}"/>
    <cellStyle name="Normal 9 2 2 2 8 2 2" xfId="15385" xr:uid="{3823B6B5-64C6-4AEF-929D-52C8176B2100}"/>
    <cellStyle name="Normal 9 2 2 2 8 3" xfId="11167" xr:uid="{38F5B5B3-8D02-4F6B-AB32-52A37CF0685E}"/>
    <cellStyle name="Normal 9 2 2 2 9" xfId="4878" xr:uid="{00000000-0005-0000-0000-0000BD1E0000}"/>
    <cellStyle name="Normal 9 2 2 2 9 2" xfId="13320" xr:uid="{8D295085-ECCD-4C1F-841A-42ACB8176684}"/>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142D0380-998D-4FA7-96DD-DC3C656B5A2D}"/>
    <cellStyle name="Normal 9 2 2 3 2 2 2 3" xfId="11665" xr:uid="{763649BF-7649-4906-A2FC-06458E7D10C6}"/>
    <cellStyle name="Normal 9 2 2 3 2 2 3" xfId="5296" xr:uid="{00000000-0005-0000-0000-0000C31E0000}"/>
    <cellStyle name="Normal 9 2 2 3 2 2 3 2" xfId="13738" xr:uid="{EF19329B-A345-4240-AE3F-38CC92577D88}"/>
    <cellStyle name="Normal 9 2 2 3 2 2 4" xfId="9520" xr:uid="{1DB79366-4D92-4B02-8EA2-106CE77387D8}"/>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BD8569DA-95E6-4F9B-A717-00E40C9E361B}"/>
    <cellStyle name="Normal 9 2 2 3 2 3 2 3" xfId="12078" xr:uid="{2837ED93-FDBF-46BE-8C07-CFF1187736EA}"/>
    <cellStyle name="Normal 9 2 2 3 2 3 3" xfId="5709" xr:uid="{00000000-0005-0000-0000-0000C71E0000}"/>
    <cellStyle name="Normal 9 2 2 3 2 3 3 2" xfId="14151" xr:uid="{74E55465-CC93-4086-AD25-37B77476BB78}"/>
    <cellStyle name="Normal 9 2 2 3 2 3 4" xfId="9933" xr:uid="{FE3ED9BA-4026-429C-B081-531CB4F2BC95}"/>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6C4EC7A9-C57B-4BE0-8876-3D4F7F096B23}"/>
    <cellStyle name="Normal 9 2 2 3 2 4 2 3" xfId="12491" xr:uid="{732E4C66-3A48-457B-9C1B-62CE0E3B0038}"/>
    <cellStyle name="Normal 9 2 2 3 2 4 3" xfId="6122" xr:uid="{00000000-0005-0000-0000-0000CB1E0000}"/>
    <cellStyle name="Normal 9 2 2 3 2 4 3 2" xfId="14564" xr:uid="{0E57C51E-DA1F-462A-8B02-6C4C88E5FD6C}"/>
    <cellStyle name="Normal 9 2 2 3 2 4 4" xfId="10346" xr:uid="{6E974D09-78CE-44A9-8A17-79C7B3F31E09}"/>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636EF5ED-CD95-44D4-99B0-07849FFD61BA}"/>
    <cellStyle name="Normal 9 2 2 3 2 5 2 3" xfId="12904" xr:uid="{35A61F56-6AC8-4405-B179-A7551BD255A0}"/>
    <cellStyle name="Normal 9 2 2 3 2 5 3" xfId="6535" xr:uid="{00000000-0005-0000-0000-0000CF1E0000}"/>
    <cellStyle name="Normal 9 2 2 3 2 5 3 2" xfId="14977" xr:uid="{41EA69BC-4DFC-44B2-ACA9-F870B1D58B4A}"/>
    <cellStyle name="Normal 9 2 2 3 2 5 4" xfId="10759" xr:uid="{06F244D9-62D6-42E8-A259-46BF2FB51827}"/>
    <cellStyle name="Normal 9 2 2 3 2 6" xfId="2664" xr:uid="{00000000-0005-0000-0000-0000D01E0000}"/>
    <cellStyle name="Normal 9 2 2 3 2 6 2" xfId="6948" xr:uid="{00000000-0005-0000-0000-0000D11E0000}"/>
    <cellStyle name="Normal 9 2 2 3 2 6 2 2" xfId="15390" xr:uid="{54290D1D-1E5E-4F84-AD6B-7AE014F5D453}"/>
    <cellStyle name="Normal 9 2 2 3 2 6 3" xfId="11172" xr:uid="{89844D5C-2C75-4AF4-955D-D49F5FFD87CF}"/>
    <cellStyle name="Normal 9 2 2 3 2 7" xfId="4883" xr:uid="{00000000-0005-0000-0000-0000D21E0000}"/>
    <cellStyle name="Normal 9 2 2 3 2 7 2" xfId="13325" xr:uid="{86C0A31D-E3B9-40A7-8280-EDA7FC6A8167}"/>
    <cellStyle name="Normal 9 2 2 3 2 8" xfId="9107" xr:uid="{6634B300-DB94-48EA-BEBC-3574A4AB0373}"/>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5970930D-A7EB-4973-B21D-16EF7E420787}"/>
    <cellStyle name="Normal 9 2 2 3 3 2 3" xfId="11664" xr:uid="{AF703F10-1A18-468A-B0BA-B0A001C9EFFA}"/>
    <cellStyle name="Normal 9 2 2 3 3 3" xfId="5295" xr:uid="{00000000-0005-0000-0000-0000D61E0000}"/>
    <cellStyle name="Normal 9 2 2 3 3 3 2" xfId="13737" xr:uid="{77BC89C9-1374-4A59-890D-FA5B2063A482}"/>
    <cellStyle name="Normal 9 2 2 3 3 4" xfId="9519" xr:uid="{A77A2955-B0D3-4CE9-A0C8-7927A90CE578}"/>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C47FC9BB-8169-4AF1-AC4C-2F26B3D6EF67}"/>
    <cellStyle name="Normal 9 2 2 3 4 2 3" xfId="12077" xr:uid="{3299C574-11B7-4DFC-85EC-9B58D8B0BCB7}"/>
    <cellStyle name="Normal 9 2 2 3 4 3" xfId="5708" xr:uid="{00000000-0005-0000-0000-0000DA1E0000}"/>
    <cellStyle name="Normal 9 2 2 3 4 3 2" xfId="14150" xr:uid="{3E498CC7-2237-4CC8-A5B7-5755DEFDD408}"/>
    <cellStyle name="Normal 9 2 2 3 4 4" xfId="9932" xr:uid="{2800CB5C-425B-48F1-8460-39D9B839D242}"/>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1DAA6B20-3930-48C4-B23F-456193E28F05}"/>
    <cellStyle name="Normal 9 2 2 3 5 2 3" xfId="12490" xr:uid="{7E16FD90-F7A3-4D68-8E2C-B36CE2EA9578}"/>
    <cellStyle name="Normal 9 2 2 3 5 3" xfId="6121" xr:uid="{00000000-0005-0000-0000-0000DE1E0000}"/>
    <cellStyle name="Normal 9 2 2 3 5 3 2" xfId="14563" xr:uid="{3532A58C-BE83-422D-B7A2-73CB7CF08E61}"/>
    <cellStyle name="Normal 9 2 2 3 5 4" xfId="10345" xr:uid="{3F95996E-3BDD-4113-803E-BF351606F361}"/>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29543787-C8E2-42CB-8B2E-2FCCDF5C9CD1}"/>
    <cellStyle name="Normal 9 2 2 3 6 2 3" xfId="12903" xr:uid="{57F52B5A-8B62-4FA3-97F3-A2E9B85EFD06}"/>
    <cellStyle name="Normal 9 2 2 3 6 3" xfId="6534" xr:uid="{00000000-0005-0000-0000-0000E21E0000}"/>
    <cellStyle name="Normal 9 2 2 3 6 3 2" xfId="14976" xr:uid="{D18C8FCF-B428-47B0-9A94-3B56938A0744}"/>
    <cellStyle name="Normal 9 2 2 3 6 4" xfId="10758" xr:uid="{5CCFD25E-5EC3-41BA-B450-5BB11F0C148B}"/>
    <cellStyle name="Normal 9 2 2 3 7" xfId="2663" xr:uid="{00000000-0005-0000-0000-0000E31E0000}"/>
    <cellStyle name="Normal 9 2 2 3 7 2" xfId="6947" xr:uid="{00000000-0005-0000-0000-0000E41E0000}"/>
    <cellStyle name="Normal 9 2 2 3 7 2 2" xfId="15389" xr:uid="{CBA56235-3424-493A-9CAF-2FB9FD78CC1A}"/>
    <cellStyle name="Normal 9 2 2 3 7 3" xfId="11171" xr:uid="{26172BFC-8D24-4E12-BB8C-124B2EEC30E1}"/>
    <cellStyle name="Normal 9 2 2 3 8" xfId="4882" xr:uid="{00000000-0005-0000-0000-0000E51E0000}"/>
    <cellStyle name="Normal 9 2 2 3 8 2" xfId="13324" xr:uid="{DAE854ED-7B05-4475-8B5A-4D5B83881E24}"/>
    <cellStyle name="Normal 9 2 2 3 9" xfId="9106" xr:uid="{A0C671C0-2A79-4B8F-A765-583FF726F892}"/>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4205A9AC-BA82-4FB9-BCB0-4A9EC2A7A78F}"/>
    <cellStyle name="Normal 9 2 2 4 2 2 3" xfId="11666" xr:uid="{ACEB99CC-2857-49E9-A45D-A6478F47235F}"/>
    <cellStyle name="Normal 9 2 2 4 2 3" xfId="5297" xr:uid="{00000000-0005-0000-0000-0000EA1E0000}"/>
    <cellStyle name="Normal 9 2 2 4 2 3 2" xfId="13739" xr:uid="{277951D7-6939-4926-88E7-3EB915A566C8}"/>
    <cellStyle name="Normal 9 2 2 4 2 4" xfId="9521" xr:uid="{F822EE2B-D308-4BFD-85A3-2D91A38EF4FD}"/>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EC166B86-D173-497C-92EF-0A22E9910ED8}"/>
    <cellStyle name="Normal 9 2 2 4 3 2 3" xfId="12079" xr:uid="{1831CEF7-782B-4509-9C46-ED4256AD30BF}"/>
    <cellStyle name="Normal 9 2 2 4 3 3" xfId="5710" xr:uid="{00000000-0005-0000-0000-0000EE1E0000}"/>
    <cellStyle name="Normal 9 2 2 4 3 3 2" xfId="14152" xr:uid="{45CD8012-C439-43BF-B429-875339902FE4}"/>
    <cellStyle name="Normal 9 2 2 4 3 4" xfId="9934" xr:uid="{28BF4209-38FA-4B4F-A4A2-2279372ECD62}"/>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CE73A38D-703A-4985-ACFF-9A5602DE0CA3}"/>
    <cellStyle name="Normal 9 2 2 4 4 2 3" xfId="12492" xr:uid="{D11F2E26-C979-4910-B9C3-A865D7F4BAA4}"/>
    <cellStyle name="Normal 9 2 2 4 4 3" xfId="6123" xr:uid="{00000000-0005-0000-0000-0000F21E0000}"/>
    <cellStyle name="Normal 9 2 2 4 4 3 2" xfId="14565" xr:uid="{9C03AA0C-348D-479B-A241-324BCB585BE8}"/>
    <cellStyle name="Normal 9 2 2 4 4 4" xfId="10347" xr:uid="{CC33BFD2-3456-4AD9-BEE2-855A223A3399}"/>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92AC34E9-1418-4810-9E0A-A9DFE09EA472}"/>
    <cellStyle name="Normal 9 2 2 4 5 2 3" xfId="12905" xr:uid="{4455B0B3-A6E1-4669-83FD-50ADC60CC024}"/>
    <cellStyle name="Normal 9 2 2 4 5 3" xfId="6536" xr:uid="{00000000-0005-0000-0000-0000F61E0000}"/>
    <cellStyle name="Normal 9 2 2 4 5 3 2" xfId="14978" xr:uid="{8FC148CF-4CD3-4804-AFD0-36D93F4068B0}"/>
    <cellStyle name="Normal 9 2 2 4 5 4" xfId="10760" xr:uid="{30DB2364-C82B-4218-A9F6-5150F0168612}"/>
    <cellStyle name="Normal 9 2 2 4 6" xfId="2665" xr:uid="{00000000-0005-0000-0000-0000F71E0000}"/>
    <cellStyle name="Normal 9 2 2 4 6 2" xfId="6949" xr:uid="{00000000-0005-0000-0000-0000F81E0000}"/>
    <cellStyle name="Normal 9 2 2 4 6 2 2" xfId="15391" xr:uid="{8E1D8FE0-AC59-4B8C-8C88-6D567B80BFEC}"/>
    <cellStyle name="Normal 9 2 2 4 6 3" xfId="11173" xr:uid="{51E71E09-590D-46B2-A676-F982397A8BCE}"/>
    <cellStyle name="Normal 9 2 2 4 7" xfId="4884" xr:uid="{00000000-0005-0000-0000-0000F91E0000}"/>
    <cellStyle name="Normal 9 2 2 4 7 2" xfId="13326" xr:uid="{DE8FA611-ECA4-4BF0-8EE3-8F9A08E6DB35}"/>
    <cellStyle name="Normal 9 2 2 4 8" xfId="9108" xr:uid="{8AE45F3D-4715-4F44-A81A-F4566B42DCDD}"/>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6B37CDF7-D1D3-4D5C-8A78-96954DE53A3A}"/>
    <cellStyle name="Normal 9 2 2 5 2 3" xfId="11659" xr:uid="{43B0B128-11DC-4C80-ADC1-779DCDFB542E}"/>
    <cellStyle name="Normal 9 2 2 5 3" xfId="5290" xr:uid="{00000000-0005-0000-0000-0000FD1E0000}"/>
    <cellStyle name="Normal 9 2 2 5 3 2" xfId="13732" xr:uid="{C5D3488C-F7C4-4B5A-9D17-F24098ADD089}"/>
    <cellStyle name="Normal 9 2 2 5 4" xfId="9514" xr:uid="{344840F2-DBD3-4354-B1C4-DF4AD2727375}"/>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9EE118C5-D9E1-462B-9551-6626FFC162BE}"/>
    <cellStyle name="Normal 9 2 2 6 2 3" xfId="12072" xr:uid="{C5F7ED30-9BE6-4B18-87D6-B4AE53C1C4D0}"/>
    <cellStyle name="Normal 9 2 2 6 3" xfId="5703" xr:uid="{00000000-0005-0000-0000-0000011F0000}"/>
    <cellStyle name="Normal 9 2 2 6 3 2" xfId="14145" xr:uid="{C4988972-929D-4B95-8E01-159266A32151}"/>
    <cellStyle name="Normal 9 2 2 6 4" xfId="9927" xr:uid="{ADA30481-B66F-4C55-ADDC-6A720CA08343}"/>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4E916CE7-C8DF-4C91-8D92-3F6DF6C905F8}"/>
    <cellStyle name="Normal 9 2 2 7 2 3" xfId="12485" xr:uid="{D137CA9B-0858-47C7-A20E-BD0830D6E681}"/>
    <cellStyle name="Normal 9 2 2 7 3" xfId="6116" xr:uid="{00000000-0005-0000-0000-0000051F0000}"/>
    <cellStyle name="Normal 9 2 2 7 3 2" xfId="14558" xr:uid="{1E60C321-FAEE-42BC-8338-99A9B5CD3FCA}"/>
    <cellStyle name="Normal 9 2 2 7 4" xfId="10340" xr:uid="{40CC3142-9E00-404A-8826-B38D7336328A}"/>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36ED3FFB-FE53-4352-96AB-633FFBAE64F3}"/>
    <cellStyle name="Normal 9 2 2 8 2 3" xfId="12898" xr:uid="{059E46F6-DB3A-465D-AA5A-613DEF0239F8}"/>
    <cellStyle name="Normal 9 2 2 8 3" xfId="6529" xr:uid="{00000000-0005-0000-0000-0000091F0000}"/>
    <cellStyle name="Normal 9 2 2 8 3 2" xfId="14971" xr:uid="{86261D3E-2413-4206-803C-4A4EF9A06AB0}"/>
    <cellStyle name="Normal 9 2 2 8 4" xfId="10753" xr:uid="{8C361584-CC0A-4C97-B3F6-BC470C5DF56C}"/>
    <cellStyle name="Normal 9 2 2 9" xfId="2658" xr:uid="{00000000-0005-0000-0000-00000A1F0000}"/>
    <cellStyle name="Normal 9 2 2 9 2" xfId="6942" xr:uid="{00000000-0005-0000-0000-00000B1F0000}"/>
    <cellStyle name="Normal 9 2 2 9 2 2" xfId="15384" xr:uid="{267C0DCB-726B-4A67-825E-60CB8F31D793}"/>
    <cellStyle name="Normal 9 2 2 9 3" xfId="11166" xr:uid="{49BDC350-795B-4C1C-8A69-A50C334B0A78}"/>
    <cellStyle name="Normal 9 2 3" xfId="520" xr:uid="{00000000-0005-0000-0000-00000C1F0000}"/>
    <cellStyle name="Normal 9 2 3 10" xfId="9109" xr:uid="{F631BBC2-05F1-4199-B863-5185A88F98AE}"/>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C8D21902-265D-4584-A1EF-4A531F4E782A}"/>
    <cellStyle name="Normal 9 2 3 2 2 2 2 3" xfId="11669" xr:uid="{C1BE0D81-AF4B-4A3F-8C46-6C3DC0B9D6D1}"/>
    <cellStyle name="Normal 9 2 3 2 2 2 3" xfId="5300" xr:uid="{00000000-0005-0000-0000-0000121F0000}"/>
    <cellStyle name="Normal 9 2 3 2 2 2 3 2" xfId="13742" xr:uid="{8430B5DD-3248-49D6-A8D3-F13B28039A36}"/>
    <cellStyle name="Normal 9 2 3 2 2 2 4" xfId="9524" xr:uid="{B5404EB8-25BB-4C6E-8D6F-A45794C0FE45}"/>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D935B22F-7608-4600-87CD-6C3915D5AB60}"/>
    <cellStyle name="Normal 9 2 3 2 2 3 2 3" xfId="12082" xr:uid="{99630220-FFC1-4138-AC0C-C2712B750F37}"/>
    <cellStyle name="Normal 9 2 3 2 2 3 3" xfId="5713" xr:uid="{00000000-0005-0000-0000-0000161F0000}"/>
    <cellStyle name="Normal 9 2 3 2 2 3 3 2" xfId="14155" xr:uid="{ABADAE8D-C445-41E2-9E0A-28F13F73D3B4}"/>
    <cellStyle name="Normal 9 2 3 2 2 3 4" xfId="9937" xr:uid="{534F52A6-79DC-472F-B959-D43465D9D9CC}"/>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2425E6C2-DE64-41D6-ABAB-B85BA1CF211D}"/>
    <cellStyle name="Normal 9 2 3 2 2 4 2 3" xfId="12495" xr:uid="{897C2D8C-E631-49B1-A5AB-64F46AE7443E}"/>
    <cellStyle name="Normal 9 2 3 2 2 4 3" xfId="6126" xr:uid="{00000000-0005-0000-0000-00001A1F0000}"/>
    <cellStyle name="Normal 9 2 3 2 2 4 3 2" xfId="14568" xr:uid="{ACB4A3B6-1A33-4D84-B11E-131E20E1749F}"/>
    <cellStyle name="Normal 9 2 3 2 2 4 4" xfId="10350" xr:uid="{5F1BFE31-2D28-4AE5-A86F-12475F0D2819}"/>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D9475AFF-4D5B-46FC-B186-91690B1E524C}"/>
    <cellStyle name="Normal 9 2 3 2 2 5 2 3" xfId="12908" xr:uid="{9CB6BF48-53F8-4A9A-B8F4-2924325FDD96}"/>
    <cellStyle name="Normal 9 2 3 2 2 5 3" xfId="6539" xr:uid="{00000000-0005-0000-0000-00001E1F0000}"/>
    <cellStyle name="Normal 9 2 3 2 2 5 3 2" xfId="14981" xr:uid="{30CC4B1C-2ED2-4A24-9142-23A0F765D2A1}"/>
    <cellStyle name="Normal 9 2 3 2 2 5 4" xfId="10763" xr:uid="{5E6E081E-28D3-4AE4-9162-DC7EC0D0201F}"/>
    <cellStyle name="Normal 9 2 3 2 2 6" xfId="2668" xr:uid="{00000000-0005-0000-0000-00001F1F0000}"/>
    <cellStyle name="Normal 9 2 3 2 2 6 2" xfId="6952" xr:uid="{00000000-0005-0000-0000-0000201F0000}"/>
    <cellStyle name="Normal 9 2 3 2 2 6 2 2" xfId="15394" xr:uid="{F5C89E8B-1ACC-4EFA-A7F8-DFA3941A5BBA}"/>
    <cellStyle name="Normal 9 2 3 2 2 6 3" xfId="11176" xr:uid="{51DDD479-0842-42E7-89C3-7F459FD0FB44}"/>
    <cellStyle name="Normal 9 2 3 2 2 7" xfId="4887" xr:uid="{00000000-0005-0000-0000-0000211F0000}"/>
    <cellStyle name="Normal 9 2 3 2 2 7 2" xfId="13329" xr:uid="{1CFE74BB-0E3A-425E-9972-885BE252EB0F}"/>
    <cellStyle name="Normal 9 2 3 2 2 8" xfId="9111" xr:uid="{C4CA750F-F543-4856-9415-192E6220E54A}"/>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F2D1B389-0378-47D3-9DAC-7C77EDC36896}"/>
    <cellStyle name="Normal 9 2 3 2 3 2 3" xfId="11668" xr:uid="{CE2FAD95-56EA-40BF-B718-24615C73B692}"/>
    <cellStyle name="Normal 9 2 3 2 3 3" xfId="5299" xr:uid="{00000000-0005-0000-0000-0000251F0000}"/>
    <cellStyle name="Normal 9 2 3 2 3 3 2" xfId="13741" xr:uid="{2E0758EF-8151-4E9F-AF1E-8F6DFC36250C}"/>
    <cellStyle name="Normal 9 2 3 2 3 4" xfId="9523" xr:uid="{D8066E3C-B656-40D8-8BAF-B155EBCCCBE8}"/>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527CC84D-ABE3-495C-B65E-1414BC283075}"/>
    <cellStyle name="Normal 9 2 3 2 4 2 3" xfId="12081" xr:uid="{F24EA234-4AF0-4A25-B99B-844A0D81558D}"/>
    <cellStyle name="Normal 9 2 3 2 4 3" xfId="5712" xr:uid="{00000000-0005-0000-0000-0000291F0000}"/>
    <cellStyle name="Normal 9 2 3 2 4 3 2" xfId="14154" xr:uid="{74920C89-8B24-4394-A69C-6CBA53F5619E}"/>
    <cellStyle name="Normal 9 2 3 2 4 4" xfId="9936" xr:uid="{34656764-1EF3-4158-AE15-DAB7E2890267}"/>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39F48DB6-531A-47C8-AA74-C32D7A3B91A8}"/>
    <cellStyle name="Normal 9 2 3 2 5 2 3" xfId="12494" xr:uid="{B80DCF85-56A1-480B-8981-FDF7C8F5F3EB}"/>
    <cellStyle name="Normal 9 2 3 2 5 3" xfId="6125" xr:uid="{00000000-0005-0000-0000-00002D1F0000}"/>
    <cellStyle name="Normal 9 2 3 2 5 3 2" xfId="14567" xr:uid="{A614A307-0DA5-4039-B107-0414F80C81C4}"/>
    <cellStyle name="Normal 9 2 3 2 5 4" xfId="10349" xr:uid="{D39987E8-BF0D-419E-9303-BFCC7EEDE413}"/>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A640B813-2051-463C-B0D1-B1193DCA23E0}"/>
    <cellStyle name="Normal 9 2 3 2 6 2 3" xfId="12907" xr:uid="{081AAA89-2EDC-493F-A70A-1617C5ABCCA1}"/>
    <cellStyle name="Normal 9 2 3 2 6 3" xfId="6538" xr:uid="{00000000-0005-0000-0000-0000311F0000}"/>
    <cellStyle name="Normal 9 2 3 2 6 3 2" xfId="14980" xr:uid="{965D0D79-CF1C-4F43-B995-80A28E3A9CBE}"/>
    <cellStyle name="Normal 9 2 3 2 6 4" xfId="10762" xr:uid="{0EA892DF-CFD7-4908-A625-04D96104B1A9}"/>
    <cellStyle name="Normal 9 2 3 2 7" xfId="2667" xr:uid="{00000000-0005-0000-0000-0000321F0000}"/>
    <cellStyle name="Normal 9 2 3 2 7 2" xfId="6951" xr:uid="{00000000-0005-0000-0000-0000331F0000}"/>
    <cellStyle name="Normal 9 2 3 2 7 2 2" xfId="15393" xr:uid="{6BB46F4D-A00E-4727-94C1-0F03A754E957}"/>
    <cellStyle name="Normal 9 2 3 2 7 3" xfId="11175" xr:uid="{9A29385F-F541-4E36-AC94-165611D879C3}"/>
    <cellStyle name="Normal 9 2 3 2 8" xfId="4886" xr:uid="{00000000-0005-0000-0000-0000341F0000}"/>
    <cellStyle name="Normal 9 2 3 2 8 2" xfId="13328" xr:uid="{2344991A-98EB-4C56-A606-0004E7843DF5}"/>
    <cellStyle name="Normal 9 2 3 2 9" xfId="9110" xr:uid="{6D74D626-9418-4394-8655-EF033DA998C2}"/>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68FC1F7F-6998-4358-BFE1-B70797C064E9}"/>
    <cellStyle name="Normal 9 2 3 3 2 2 3" xfId="11670" xr:uid="{359AAC02-7A53-400E-8BF0-51F930D4DA7B}"/>
    <cellStyle name="Normal 9 2 3 3 2 3" xfId="5301" xr:uid="{00000000-0005-0000-0000-0000391F0000}"/>
    <cellStyle name="Normal 9 2 3 3 2 3 2" xfId="13743" xr:uid="{B3C13707-62F9-4AAC-ACEE-C7275EA64C9A}"/>
    <cellStyle name="Normal 9 2 3 3 2 4" xfId="9525" xr:uid="{54DBAC2A-A53F-4503-BC1B-187E1FC6317F}"/>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E89CBC9F-442A-424D-BD4E-B06CEC82A64B}"/>
    <cellStyle name="Normal 9 2 3 3 3 2 3" xfId="12083" xr:uid="{F8CAA88E-4D50-4901-8922-90AB2ED95ACC}"/>
    <cellStyle name="Normal 9 2 3 3 3 3" xfId="5714" xr:uid="{00000000-0005-0000-0000-00003D1F0000}"/>
    <cellStyle name="Normal 9 2 3 3 3 3 2" xfId="14156" xr:uid="{65BCDDAF-58F2-4875-9A21-DAC737AF9941}"/>
    <cellStyle name="Normal 9 2 3 3 3 4" xfId="9938" xr:uid="{EF60127F-2B73-4920-B7E4-5B0C0E419FDD}"/>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CC1E280E-18EA-4F22-8DC6-CC31434B4DFF}"/>
    <cellStyle name="Normal 9 2 3 3 4 2 3" xfId="12496" xr:uid="{39A227BA-E338-492E-A81E-829B8E718D01}"/>
    <cellStyle name="Normal 9 2 3 3 4 3" xfId="6127" xr:uid="{00000000-0005-0000-0000-0000411F0000}"/>
    <cellStyle name="Normal 9 2 3 3 4 3 2" xfId="14569" xr:uid="{3420BAEC-F2DC-497C-A272-FA2E3AF1A4E1}"/>
    <cellStyle name="Normal 9 2 3 3 4 4" xfId="10351" xr:uid="{7F6E52E2-9E42-4329-969C-EC7760B65A06}"/>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87924D0A-F571-458F-8A35-45B93C34779F}"/>
    <cellStyle name="Normal 9 2 3 3 5 2 3" xfId="12909" xr:uid="{BD661B4F-F231-499E-9CAC-1CDD73772DA9}"/>
    <cellStyle name="Normal 9 2 3 3 5 3" xfId="6540" xr:uid="{00000000-0005-0000-0000-0000451F0000}"/>
    <cellStyle name="Normal 9 2 3 3 5 3 2" xfId="14982" xr:uid="{E1DD1EBD-2CDB-40AE-84EC-8587795801D7}"/>
    <cellStyle name="Normal 9 2 3 3 5 4" xfId="10764" xr:uid="{851248CE-4FF3-4B36-95CA-10B1807866FC}"/>
    <cellStyle name="Normal 9 2 3 3 6" xfId="2669" xr:uid="{00000000-0005-0000-0000-0000461F0000}"/>
    <cellStyle name="Normal 9 2 3 3 6 2" xfId="6953" xr:uid="{00000000-0005-0000-0000-0000471F0000}"/>
    <cellStyle name="Normal 9 2 3 3 6 2 2" xfId="15395" xr:uid="{912AC08C-1946-4C90-B5A4-E76D2EB06FBA}"/>
    <cellStyle name="Normal 9 2 3 3 6 3" xfId="11177" xr:uid="{45FC5AD8-2EDF-4F0F-A8C3-FDE7838E8532}"/>
    <cellStyle name="Normal 9 2 3 3 7" xfId="4888" xr:uid="{00000000-0005-0000-0000-0000481F0000}"/>
    <cellStyle name="Normal 9 2 3 3 7 2" xfId="13330" xr:uid="{7401FFF5-7F1A-412E-BB8C-1BA35D4F986C}"/>
    <cellStyle name="Normal 9 2 3 3 8" xfId="9112" xr:uid="{31FE978E-EA13-40B0-9352-245F8FC64CB0}"/>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8289C0EB-255E-4936-AACD-FBDC549B347F}"/>
    <cellStyle name="Normal 9 2 3 4 2 3" xfId="11667" xr:uid="{835051FC-426F-4393-B1AE-0EC24C1E6847}"/>
    <cellStyle name="Normal 9 2 3 4 3" xfId="5298" xr:uid="{00000000-0005-0000-0000-00004C1F0000}"/>
    <cellStyle name="Normal 9 2 3 4 3 2" xfId="13740" xr:uid="{CA0A5F23-B140-4CAE-850D-FDB8A069B291}"/>
    <cellStyle name="Normal 9 2 3 4 4" xfId="9522" xr:uid="{B24C53D9-D5BC-47CA-A4AE-38BDB709EC34}"/>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1A7A314F-0D8B-40D0-9DEA-3F96B46981A5}"/>
    <cellStyle name="Normal 9 2 3 5 2 3" xfId="12080" xr:uid="{48ABE147-ACFF-4DEF-A5EB-F39E18245B47}"/>
    <cellStyle name="Normal 9 2 3 5 3" xfId="5711" xr:uid="{00000000-0005-0000-0000-0000501F0000}"/>
    <cellStyle name="Normal 9 2 3 5 3 2" xfId="14153" xr:uid="{572154FD-C597-4D0A-BDBF-081308AEF1E2}"/>
    <cellStyle name="Normal 9 2 3 5 4" xfId="9935" xr:uid="{1AA5633F-1DBC-478B-AE47-563A1381DA93}"/>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9FC90B8C-5B74-4B9D-9981-DA7505AC9FDC}"/>
    <cellStyle name="Normal 9 2 3 6 2 3" xfId="12493" xr:uid="{A517B6EF-D241-4213-AB51-05A00E9B3845}"/>
    <cellStyle name="Normal 9 2 3 6 3" xfId="6124" xr:uid="{00000000-0005-0000-0000-0000541F0000}"/>
    <cellStyle name="Normal 9 2 3 6 3 2" xfId="14566" xr:uid="{584B0531-DAF5-41BA-9AC6-692DB03505C1}"/>
    <cellStyle name="Normal 9 2 3 6 4" xfId="10348" xr:uid="{18A9019A-9ACE-4513-BC7F-749751EC7285}"/>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058DB877-51B7-466F-BA4D-4B7FA3A9B462}"/>
    <cellStyle name="Normal 9 2 3 7 2 3" xfId="12906" xr:uid="{BE6D09C5-ADB9-420F-9A8E-415792097648}"/>
    <cellStyle name="Normal 9 2 3 7 3" xfId="6537" xr:uid="{00000000-0005-0000-0000-0000581F0000}"/>
    <cellStyle name="Normal 9 2 3 7 3 2" xfId="14979" xr:uid="{DAADBC66-34F7-4FAC-9154-598B89BB5173}"/>
    <cellStyle name="Normal 9 2 3 7 4" xfId="10761" xr:uid="{536F5EDE-A60A-434D-B3BB-F337E58C4267}"/>
    <cellStyle name="Normal 9 2 3 8" xfId="2666" xr:uid="{00000000-0005-0000-0000-0000591F0000}"/>
    <cellStyle name="Normal 9 2 3 8 2" xfId="6950" xr:uid="{00000000-0005-0000-0000-00005A1F0000}"/>
    <cellStyle name="Normal 9 2 3 8 2 2" xfId="15392" xr:uid="{658539B7-493B-49E3-9BCA-9C645286230A}"/>
    <cellStyle name="Normal 9 2 3 8 3" xfId="11174" xr:uid="{A11B526D-1B5A-4254-B3C5-45B57C9CD8ED}"/>
    <cellStyle name="Normal 9 2 3 9" xfId="4885" xr:uid="{00000000-0005-0000-0000-00005B1F0000}"/>
    <cellStyle name="Normal 9 2 3 9 2" xfId="13327" xr:uid="{547E48CC-51EB-462D-9593-F478E4AA4491}"/>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1A0E87A3-8838-40F8-A695-349B1B567823}"/>
    <cellStyle name="Normal 9 2 4 2 2 2 3" xfId="11672" xr:uid="{CC5B5FB3-76B5-4778-B2D1-22ECA48C1F2A}"/>
    <cellStyle name="Normal 9 2 4 2 2 3" xfId="5303" xr:uid="{00000000-0005-0000-0000-0000611F0000}"/>
    <cellStyle name="Normal 9 2 4 2 2 3 2" xfId="13745" xr:uid="{6F2B384D-FFBD-46AA-A7BC-D88BA5947D05}"/>
    <cellStyle name="Normal 9 2 4 2 2 4" xfId="9527" xr:uid="{6888D24C-5F73-4781-8CA8-7B5FBA87E201}"/>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7265BD8E-602D-4727-9454-6FCB3C2E5E06}"/>
    <cellStyle name="Normal 9 2 4 2 3 2 3" xfId="12085" xr:uid="{29E5F117-1DC1-44DA-A1A2-1EBCD5A9F4ED}"/>
    <cellStyle name="Normal 9 2 4 2 3 3" xfId="5716" xr:uid="{00000000-0005-0000-0000-0000651F0000}"/>
    <cellStyle name="Normal 9 2 4 2 3 3 2" xfId="14158" xr:uid="{6C65D9B3-DC5D-41CC-A943-593F51CB68C7}"/>
    <cellStyle name="Normal 9 2 4 2 3 4" xfId="9940" xr:uid="{DC00A996-8658-4325-BDE5-73F9D6E23B06}"/>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0470EEE9-6EE5-4194-9292-36A834E28986}"/>
    <cellStyle name="Normal 9 2 4 2 4 2 3" xfId="12498" xr:uid="{9E328A9C-E5C1-4F27-A2DB-C4A2277A0118}"/>
    <cellStyle name="Normal 9 2 4 2 4 3" xfId="6129" xr:uid="{00000000-0005-0000-0000-0000691F0000}"/>
    <cellStyle name="Normal 9 2 4 2 4 3 2" xfId="14571" xr:uid="{6D4A88BA-28AE-4FA5-8465-D8737CDD0B0A}"/>
    <cellStyle name="Normal 9 2 4 2 4 4" xfId="10353" xr:uid="{9E43F447-8C14-41E9-B612-920768DBD812}"/>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01ABBE03-8D83-4E33-B8A1-F93CED1FF93D}"/>
    <cellStyle name="Normal 9 2 4 2 5 2 3" xfId="12911" xr:uid="{5A60EBF8-6287-4345-BC9C-505C083ADE9F}"/>
    <cellStyle name="Normal 9 2 4 2 5 3" xfId="6542" xr:uid="{00000000-0005-0000-0000-00006D1F0000}"/>
    <cellStyle name="Normal 9 2 4 2 5 3 2" xfId="14984" xr:uid="{479F916A-C8EC-42E1-A2B6-927F4299BF4F}"/>
    <cellStyle name="Normal 9 2 4 2 5 4" xfId="10766" xr:uid="{DACCAE7D-2E4F-454C-9065-228AE9C2295F}"/>
    <cellStyle name="Normal 9 2 4 2 6" xfId="2671" xr:uid="{00000000-0005-0000-0000-00006E1F0000}"/>
    <cellStyle name="Normal 9 2 4 2 6 2" xfId="6955" xr:uid="{00000000-0005-0000-0000-00006F1F0000}"/>
    <cellStyle name="Normal 9 2 4 2 6 2 2" xfId="15397" xr:uid="{93958F4A-F8CF-4DC2-9B02-5AA8E6914366}"/>
    <cellStyle name="Normal 9 2 4 2 6 3" xfId="11179" xr:uid="{76888079-CA43-4F44-A356-6E9778FAA972}"/>
    <cellStyle name="Normal 9 2 4 2 7" xfId="4890" xr:uid="{00000000-0005-0000-0000-0000701F0000}"/>
    <cellStyle name="Normal 9 2 4 2 7 2" xfId="13332" xr:uid="{2F505559-6BD1-4C0C-82B4-D103A88108BC}"/>
    <cellStyle name="Normal 9 2 4 2 8" xfId="9114" xr:uid="{1F8665A2-D4E5-4534-992F-CF82218FA1F7}"/>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D5290958-574C-4F25-B044-0FB3C2FD8ED5}"/>
    <cellStyle name="Normal 9 2 4 3 2 3" xfId="11671" xr:uid="{D963613D-040C-483D-8018-1E9FA089D892}"/>
    <cellStyle name="Normal 9 2 4 3 3" xfId="5302" xr:uid="{00000000-0005-0000-0000-0000741F0000}"/>
    <cellStyle name="Normal 9 2 4 3 3 2" xfId="13744" xr:uid="{12EA54EB-421B-4F8B-8C13-FBFA8F620080}"/>
    <cellStyle name="Normal 9 2 4 3 4" xfId="9526" xr:uid="{C0F482B9-5653-46A4-981C-59A4DBA5045B}"/>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11CF9EB0-D82A-45EA-A5C6-BEA88F433DEE}"/>
    <cellStyle name="Normal 9 2 4 4 2 3" xfId="12084" xr:uid="{3F8CF63A-94F9-4AE6-ADAB-8E68AC7FCE80}"/>
    <cellStyle name="Normal 9 2 4 4 3" xfId="5715" xr:uid="{00000000-0005-0000-0000-0000781F0000}"/>
    <cellStyle name="Normal 9 2 4 4 3 2" xfId="14157" xr:uid="{675FB84A-6B9C-49E8-A76B-E4585264BD5C}"/>
    <cellStyle name="Normal 9 2 4 4 4" xfId="9939" xr:uid="{57A18D39-7D28-48FA-B585-F8DEBAD7AF71}"/>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8BBB3626-9F28-49D7-97A4-35FA29D3F09C}"/>
    <cellStyle name="Normal 9 2 4 5 2 3" xfId="12497" xr:uid="{33CC5BB5-3F40-4B99-A1A3-4262B5F019DF}"/>
    <cellStyle name="Normal 9 2 4 5 3" xfId="6128" xr:uid="{00000000-0005-0000-0000-00007C1F0000}"/>
    <cellStyle name="Normal 9 2 4 5 3 2" xfId="14570" xr:uid="{6D3ED281-A33C-4D69-8784-B9E0595C0A35}"/>
    <cellStyle name="Normal 9 2 4 5 4" xfId="10352" xr:uid="{BF13C5D2-45A6-4975-8125-650A4C8D31AC}"/>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7A873B1C-F44C-42F2-95DF-5A1F31B2D43F}"/>
    <cellStyle name="Normal 9 2 4 6 2 3" xfId="12910" xr:uid="{6341DEF7-374C-41C8-A708-B70BF316DDBD}"/>
    <cellStyle name="Normal 9 2 4 6 3" xfId="6541" xr:uid="{00000000-0005-0000-0000-0000801F0000}"/>
    <cellStyle name="Normal 9 2 4 6 3 2" xfId="14983" xr:uid="{3A2002C9-3F31-45CC-94D2-8D81F5F397E6}"/>
    <cellStyle name="Normal 9 2 4 6 4" xfId="10765" xr:uid="{AAF67260-E76E-48DF-A360-54E54B0A9C0B}"/>
    <cellStyle name="Normal 9 2 4 7" xfId="2670" xr:uid="{00000000-0005-0000-0000-0000811F0000}"/>
    <cellStyle name="Normal 9 2 4 7 2" xfId="6954" xr:uid="{00000000-0005-0000-0000-0000821F0000}"/>
    <cellStyle name="Normal 9 2 4 7 2 2" xfId="15396" xr:uid="{B3F8A3EC-A172-41B1-B859-E64B4E58F10F}"/>
    <cellStyle name="Normal 9 2 4 7 3" xfId="11178" xr:uid="{ABDEFBE2-4D8C-4FA4-8951-17934EE4D9A7}"/>
    <cellStyle name="Normal 9 2 4 8" xfId="4889" xr:uid="{00000000-0005-0000-0000-0000831F0000}"/>
    <cellStyle name="Normal 9 2 4 8 2" xfId="13331" xr:uid="{941C1D94-3AA4-44B8-A110-D5A3423C8688}"/>
    <cellStyle name="Normal 9 2 4 9" xfId="9113" xr:uid="{4E2A64DA-0D12-4BD0-B340-21B6733CF7F3}"/>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50A630C8-D5E9-426A-9A55-FFD3B79D5CD4}"/>
    <cellStyle name="Normal 9 2 5 2 2 3" xfId="11673" xr:uid="{A974782F-B0D4-41FC-B1DD-F0D8908EA2AB}"/>
    <cellStyle name="Normal 9 2 5 2 3" xfId="5304" xr:uid="{00000000-0005-0000-0000-0000881F0000}"/>
    <cellStyle name="Normal 9 2 5 2 3 2" xfId="13746" xr:uid="{2F73B215-75B3-4BAD-B25B-63AC287B077F}"/>
    <cellStyle name="Normal 9 2 5 2 4" xfId="9528" xr:uid="{1407F07B-13FC-4D50-81BC-DAE7F4EABAC2}"/>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3515EC20-6C76-406B-938C-E4C405290E03}"/>
    <cellStyle name="Normal 9 2 5 3 2 3" xfId="12086" xr:uid="{A0B583DE-EA09-4682-B437-A0DBCAEB3A33}"/>
    <cellStyle name="Normal 9 2 5 3 3" xfId="5717" xr:uid="{00000000-0005-0000-0000-00008C1F0000}"/>
    <cellStyle name="Normal 9 2 5 3 3 2" xfId="14159" xr:uid="{1C6A757A-90B9-4FA2-AB77-F3E6D17921E0}"/>
    <cellStyle name="Normal 9 2 5 3 4" xfId="9941" xr:uid="{C955D8C2-A861-4380-9349-7D89C01FE611}"/>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014C01EC-FA86-4F0C-A156-602BE4B1E150}"/>
    <cellStyle name="Normal 9 2 5 4 2 3" xfId="12499" xr:uid="{5632AAE1-8A90-4802-8D75-586AB5CDA0AD}"/>
    <cellStyle name="Normal 9 2 5 4 3" xfId="6130" xr:uid="{00000000-0005-0000-0000-0000901F0000}"/>
    <cellStyle name="Normal 9 2 5 4 3 2" xfId="14572" xr:uid="{F0E5E176-9BC0-4191-8826-763C39F0D678}"/>
    <cellStyle name="Normal 9 2 5 4 4" xfId="10354" xr:uid="{C0D6239B-08FA-4834-AC30-F1222EC891EA}"/>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FF6EABA4-7BE5-4627-A0B3-4DDE61AC104F}"/>
    <cellStyle name="Normal 9 2 5 5 2 3" xfId="12912" xr:uid="{57F11B2D-7464-4732-BE6A-416559EB9F21}"/>
    <cellStyle name="Normal 9 2 5 5 3" xfId="6543" xr:uid="{00000000-0005-0000-0000-0000941F0000}"/>
    <cellStyle name="Normal 9 2 5 5 3 2" xfId="14985" xr:uid="{420144A3-044A-4427-9289-03EE37E6D4E5}"/>
    <cellStyle name="Normal 9 2 5 5 4" xfId="10767" xr:uid="{D45E8025-869C-4DA3-8041-3B0BB78AC46F}"/>
    <cellStyle name="Normal 9 2 5 6" xfId="2672" xr:uid="{00000000-0005-0000-0000-0000951F0000}"/>
    <cellStyle name="Normal 9 2 5 6 2" xfId="6956" xr:uid="{00000000-0005-0000-0000-0000961F0000}"/>
    <cellStyle name="Normal 9 2 5 6 2 2" xfId="15398" xr:uid="{E79BAC0F-3952-475D-A931-DCA70FDAD008}"/>
    <cellStyle name="Normal 9 2 5 6 3" xfId="11180" xr:uid="{800F4445-E511-4611-B2E9-6D1BA854C491}"/>
    <cellStyle name="Normal 9 2 5 7" xfId="4891" xr:uid="{00000000-0005-0000-0000-0000971F0000}"/>
    <cellStyle name="Normal 9 2 5 7 2" xfId="13333" xr:uid="{AE4F9A12-307C-410A-A753-527376C05FD1}"/>
    <cellStyle name="Normal 9 2 5 8" xfId="9115" xr:uid="{BA22ECD3-88C7-400D-946E-A53BF6DD743B}"/>
    <cellStyle name="Normal 9 2 6" xfId="978" xr:uid="{00000000-0005-0000-0000-0000981F0000}"/>
    <cellStyle name="Normal 9 2 6 2" xfId="3211" xr:uid="{00000000-0005-0000-0000-0000991F0000}"/>
    <cellStyle name="Normal 9 2 6 2 2" xfId="7434" xr:uid="{00000000-0005-0000-0000-00009A1F0000}"/>
    <cellStyle name="Normal 9 2 6 2 2 2" xfId="15876" xr:uid="{371A1C1D-DAAD-4F0F-9028-B8561C1BC56F}"/>
    <cellStyle name="Normal 9 2 6 2 3" xfId="11658" xr:uid="{5CD3D067-E254-44BA-8C41-4AFADEB86D61}"/>
    <cellStyle name="Normal 9 2 6 3" xfId="5289" xr:uid="{00000000-0005-0000-0000-00009B1F0000}"/>
    <cellStyle name="Normal 9 2 6 3 2" xfId="13731" xr:uid="{171EC4A0-CFBC-49A1-ACE0-89C09E882F58}"/>
    <cellStyle name="Normal 9 2 6 4" xfId="9513" xr:uid="{DE785231-B001-4581-B07A-65033065DDB5}"/>
    <cellStyle name="Normal 9 2 7" xfId="1394" xr:uid="{00000000-0005-0000-0000-00009C1F0000}"/>
    <cellStyle name="Normal 9 2 7 2" xfId="3624" xr:uid="{00000000-0005-0000-0000-00009D1F0000}"/>
    <cellStyle name="Normal 9 2 7 2 2" xfId="7847" xr:uid="{00000000-0005-0000-0000-00009E1F0000}"/>
    <cellStyle name="Normal 9 2 7 2 2 2" xfId="16289" xr:uid="{F18AB782-0E9D-4BCC-958C-B4A936641EC2}"/>
    <cellStyle name="Normal 9 2 7 2 3" xfId="12071" xr:uid="{930F285F-9259-450B-B666-F5B5FE3C17D2}"/>
    <cellStyle name="Normal 9 2 7 3" xfId="5702" xr:uid="{00000000-0005-0000-0000-00009F1F0000}"/>
    <cellStyle name="Normal 9 2 7 3 2" xfId="14144" xr:uid="{9C21CE2A-2E02-4C93-91F8-E26ECB1466D9}"/>
    <cellStyle name="Normal 9 2 7 4" xfId="9926" xr:uid="{886D48BD-4F87-4497-9529-D73D19C3E9AA}"/>
    <cellStyle name="Normal 9 2 8" xfId="1807" xr:uid="{00000000-0005-0000-0000-0000A01F0000}"/>
    <cellStyle name="Normal 9 2 8 2" xfId="4037" xr:uid="{00000000-0005-0000-0000-0000A11F0000}"/>
    <cellStyle name="Normal 9 2 8 2 2" xfId="8260" xr:uid="{00000000-0005-0000-0000-0000A21F0000}"/>
    <cellStyle name="Normal 9 2 8 2 2 2" xfId="16702" xr:uid="{3620BD42-FE72-4870-A7EC-CF262071439E}"/>
    <cellStyle name="Normal 9 2 8 2 3" xfId="12484" xr:uid="{6E8BE116-6C27-4DEB-89FA-F26861E04F23}"/>
    <cellStyle name="Normal 9 2 8 3" xfId="6115" xr:uid="{00000000-0005-0000-0000-0000A31F0000}"/>
    <cellStyle name="Normal 9 2 8 3 2" xfId="14557" xr:uid="{1C36FCB2-090D-4FC4-B27E-41A883432065}"/>
    <cellStyle name="Normal 9 2 8 4" xfId="10339" xr:uid="{C85602FB-30EF-4C2B-A83B-3FE37A2A2D2C}"/>
    <cellStyle name="Normal 9 2 9" xfId="2221" xr:uid="{00000000-0005-0000-0000-0000A41F0000}"/>
    <cellStyle name="Normal 9 2 9 2" xfId="4450" xr:uid="{00000000-0005-0000-0000-0000A51F0000}"/>
    <cellStyle name="Normal 9 2 9 2 2" xfId="8673" xr:uid="{00000000-0005-0000-0000-0000A61F0000}"/>
    <cellStyle name="Normal 9 2 9 2 2 2" xfId="17115" xr:uid="{D026483F-C787-4558-B1E5-D427906B570B}"/>
    <cellStyle name="Normal 9 2 9 2 3" xfId="12897" xr:uid="{39C3255F-D2E8-494A-BA58-9E06EB43BE5A}"/>
    <cellStyle name="Normal 9 2 9 3" xfId="6528" xr:uid="{00000000-0005-0000-0000-0000A71F0000}"/>
    <cellStyle name="Normal 9 2 9 3 2" xfId="14970" xr:uid="{C568A58F-0221-49C9-B68E-0A4BD74139B6}"/>
    <cellStyle name="Normal 9 2 9 4" xfId="10752" xr:uid="{750045AC-61AB-4BCE-8A03-DD31665245A4}"/>
    <cellStyle name="Normal 9 3" xfId="527" xr:uid="{00000000-0005-0000-0000-0000A81F0000}"/>
    <cellStyle name="Normal 9 3 10" xfId="4892" xr:uid="{00000000-0005-0000-0000-0000A91F0000}"/>
    <cellStyle name="Normal 9 3 10 2" xfId="13334" xr:uid="{1B6F7230-8D94-454F-872E-658F13EC38A1}"/>
    <cellStyle name="Normal 9 3 11" xfId="9116" xr:uid="{BD8DC433-BC85-45BD-88D0-377D166DB211}"/>
    <cellStyle name="Normal 9 3 2" xfId="528" xr:uid="{00000000-0005-0000-0000-0000AA1F0000}"/>
    <cellStyle name="Normal 9 3 2 10" xfId="9117" xr:uid="{7516BB4A-7526-48FF-9C12-FC337E8F138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9C3507EB-850E-4BE2-B957-626FFA9BA1BF}"/>
    <cellStyle name="Normal 9 3 2 2 2 2 2 3" xfId="11677" xr:uid="{4F8C0617-5E0C-443D-B876-A72E85EA7335}"/>
    <cellStyle name="Normal 9 3 2 2 2 2 3" xfId="5308" xr:uid="{00000000-0005-0000-0000-0000B01F0000}"/>
    <cellStyle name="Normal 9 3 2 2 2 2 3 2" xfId="13750" xr:uid="{4ED38A26-86AF-43A7-87F1-159C05026B9E}"/>
    <cellStyle name="Normal 9 3 2 2 2 2 4" xfId="9532" xr:uid="{5BEE19BB-D4E3-4833-9AF8-209A0D17611F}"/>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95B18528-DA81-4E4E-B6CF-79673D9B19D9}"/>
    <cellStyle name="Normal 9 3 2 2 2 3 2 3" xfId="12090" xr:uid="{7D059991-8B65-465C-97DA-872438E7BB14}"/>
    <cellStyle name="Normal 9 3 2 2 2 3 3" xfId="5721" xr:uid="{00000000-0005-0000-0000-0000B41F0000}"/>
    <cellStyle name="Normal 9 3 2 2 2 3 3 2" xfId="14163" xr:uid="{449D34C5-3243-49A7-9EC1-4ADA9585A335}"/>
    <cellStyle name="Normal 9 3 2 2 2 3 4" xfId="9945" xr:uid="{7EE84ABE-532B-452C-B394-83820DF5FF7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E5CBDE45-AE72-4CC7-9682-DCAA9C42420E}"/>
    <cellStyle name="Normal 9 3 2 2 2 4 2 3" xfId="12503" xr:uid="{89E73AE2-493C-4221-99AA-51AB73BCD7BD}"/>
    <cellStyle name="Normal 9 3 2 2 2 4 3" xfId="6134" xr:uid="{00000000-0005-0000-0000-0000B81F0000}"/>
    <cellStyle name="Normal 9 3 2 2 2 4 3 2" xfId="14576" xr:uid="{FEFEB0A3-21B3-4991-A452-88DEF71FD6C8}"/>
    <cellStyle name="Normal 9 3 2 2 2 4 4" xfId="10358" xr:uid="{9CEA4CB8-0B8E-4469-9396-E93038584315}"/>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5B395338-E252-4AB6-BD59-15EA2C4A2BE8}"/>
    <cellStyle name="Normal 9 3 2 2 2 5 2 3" xfId="12916" xr:uid="{6C9E6355-F4CC-4B4D-97EF-7B6ACFBC0D43}"/>
    <cellStyle name="Normal 9 3 2 2 2 5 3" xfId="6547" xr:uid="{00000000-0005-0000-0000-0000BC1F0000}"/>
    <cellStyle name="Normal 9 3 2 2 2 5 3 2" xfId="14989" xr:uid="{DDBC70CF-DD8A-46AA-B83F-F5ABC5B38AF2}"/>
    <cellStyle name="Normal 9 3 2 2 2 5 4" xfId="10771" xr:uid="{A9347510-1112-4132-95EA-B93482063136}"/>
    <cellStyle name="Normal 9 3 2 2 2 6" xfId="2676" xr:uid="{00000000-0005-0000-0000-0000BD1F0000}"/>
    <cellStyle name="Normal 9 3 2 2 2 6 2" xfId="6960" xr:uid="{00000000-0005-0000-0000-0000BE1F0000}"/>
    <cellStyle name="Normal 9 3 2 2 2 6 2 2" xfId="15402" xr:uid="{CDB0ADAD-7229-460A-8AAC-71A8D086B14F}"/>
    <cellStyle name="Normal 9 3 2 2 2 6 3" xfId="11184" xr:uid="{49D46D5A-30AE-42CC-A61B-D6EF84A2296A}"/>
    <cellStyle name="Normal 9 3 2 2 2 7" xfId="4895" xr:uid="{00000000-0005-0000-0000-0000BF1F0000}"/>
    <cellStyle name="Normal 9 3 2 2 2 7 2" xfId="13337" xr:uid="{8C68A2B1-C3AC-49B8-8FD9-C105D786B144}"/>
    <cellStyle name="Normal 9 3 2 2 2 8" xfId="9119" xr:uid="{5AD47B04-C86B-4B33-B6C8-D8A60E02B3A8}"/>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274DE7D3-861E-4776-8727-CFE17C0CC552}"/>
    <cellStyle name="Normal 9 3 2 2 3 2 3" xfId="11676" xr:uid="{4646F61E-966B-476B-9AE9-EA13B62E5C46}"/>
    <cellStyle name="Normal 9 3 2 2 3 3" xfId="5307" xr:uid="{00000000-0005-0000-0000-0000C31F0000}"/>
    <cellStyle name="Normal 9 3 2 2 3 3 2" xfId="13749" xr:uid="{FE2724E6-9872-4DA9-B83B-F0DEDED3F61D}"/>
    <cellStyle name="Normal 9 3 2 2 3 4" xfId="9531" xr:uid="{96A9EAAC-ADFC-43D2-A339-E8E43DFFB2F8}"/>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4A9598F6-4BF6-4578-9E5E-59B102B38C7F}"/>
    <cellStyle name="Normal 9 3 2 2 4 2 3" xfId="12089" xr:uid="{832BF906-78A5-469F-9111-32DA28E5F009}"/>
    <cellStyle name="Normal 9 3 2 2 4 3" xfId="5720" xr:uid="{00000000-0005-0000-0000-0000C71F0000}"/>
    <cellStyle name="Normal 9 3 2 2 4 3 2" xfId="14162" xr:uid="{82D46B2A-3E68-4B49-AD1A-A3FAEFE7C005}"/>
    <cellStyle name="Normal 9 3 2 2 4 4" xfId="9944" xr:uid="{5FC0B742-84CD-4164-B989-A2F9CDD9DBDC}"/>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4DB38095-9CA8-428C-9A0E-0628A2E041D7}"/>
    <cellStyle name="Normal 9 3 2 2 5 2 3" xfId="12502" xr:uid="{4559C5D9-8A3E-4172-BAD0-2BC443C99674}"/>
    <cellStyle name="Normal 9 3 2 2 5 3" xfId="6133" xr:uid="{00000000-0005-0000-0000-0000CB1F0000}"/>
    <cellStyle name="Normal 9 3 2 2 5 3 2" xfId="14575" xr:uid="{B3848375-D8B3-4A66-B242-EE2667910097}"/>
    <cellStyle name="Normal 9 3 2 2 5 4" xfId="10357" xr:uid="{22DEB6CC-68E6-4814-A6CF-9617FCA66560}"/>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03D2D467-02A6-480D-89F0-8F387841E2DF}"/>
    <cellStyle name="Normal 9 3 2 2 6 2 3" xfId="12915" xr:uid="{1246F22E-5D84-4EED-92D4-266D760D8BBC}"/>
    <cellStyle name="Normal 9 3 2 2 6 3" xfId="6546" xr:uid="{00000000-0005-0000-0000-0000CF1F0000}"/>
    <cellStyle name="Normal 9 3 2 2 6 3 2" xfId="14988" xr:uid="{07BED018-0696-4F2F-9F05-CE739840D002}"/>
    <cellStyle name="Normal 9 3 2 2 6 4" xfId="10770" xr:uid="{A13224B4-A2B1-4228-9523-FC74AAF50A5B}"/>
    <cellStyle name="Normal 9 3 2 2 7" xfId="2675" xr:uid="{00000000-0005-0000-0000-0000D01F0000}"/>
    <cellStyle name="Normal 9 3 2 2 7 2" xfId="6959" xr:uid="{00000000-0005-0000-0000-0000D11F0000}"/>
    <cellStyle name="Normal 9 3 2 2 7 2 2" xfId="15401" xr:uid="{630FFDA6-CA3C-4524-9D81-922F0A4046DF}"/>
    <cellStyle name="Normal 9 3 2 2 7 3" xfId="11183" xr:uid="{1F5F7665-8DE8-4247-B8D8-ACAD79C07A4F}"/>
    <cellStyle name="Normal 9 3 2 2 8" xfId="4894" xr:uid="{00000000-0005-0000-0000-0000D21F0000}"/>
    <cellStyle name="Normal 9 3 2 2 8 2" xfId="13336" xr:uid="{7E1F5C86-66F8-42D3-BE5A-95E9341435B3}"/>
    <cellStyle name="Normal 9 3 2 2 9" xfId="9118" xr:uid="{FB85B6F3-C27A-4556-AE22-BA73744BFCF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8FCC7172-BEB1-477C-91AB-3BD845D9BFFA}"/>
    <cellStyle name="Normal 9 3 2 3 2 2 3" xfId="11678" xr:uid="{60CB86E4-102E-4EBE-904D-3DAA1234B30C}"/>
    <cellStyle name="Normal 9 3 2 3 2 3" xfId="5309" xr:uid="{00000000-0005-0000-0000-0000D71F0000}"/>
    <cellStyle name="Normal 9 3 2 3 2 3 2" xfId="13751" xr:uid="{69AF97A7-97EE-475F-8A57-616AC557BEB9}"/>
    <cellStyle name="Normal 9 3 2 3 2 4" xfId="9533" xr:uid="{9517AB45-E389-4BB4-9B37-8FBC934321A3}"/>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F7F81BBB-9DD5-4983-A9A1-811AF698D391}"/>
    <cellStyle name="Normal 9 3 2 3 3 2 3" xfId="12091" xr:uid="{2706725E-0A11-4367-87FD-6BB5764EC5B9}"/>
    <cellStyle name="Normal 9 3 2 3 3 3" xfId="5722" xr:uid="{00000000-0005-0000-0000-0000DB1F0000}"/>
    <cellStyle name="Normal 9 3 2 3 3 3 2" xfId="14164" xr:uid="{8FCDC497-F994-4FB1-9C1D-65DAFC22FEE9}"/>
    <cellStyle name="Normal 9 3 2 3 3 4" xfId="9946" xr:uid="{EAFBF431-B6C0-4553-A486-9E73C3823C57}"/>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84FF7058-7DC7-4334-B7E1-D35CD80CEA79}"/>
    <cellStyle name="Normal 9 3 2 3 4 2 3" xfId="12504" xr:uid="{61C8080C-41B8-4F16-B36D-922F368375D0}"/>
    <cellStyle name="Normal 9 3 2 3 4 3" xfId="6135" xr:uid="{00000000-0005-0000-0000-0000DF1F0000}"/>
    <cellStyle name="Normal 9 3 2 3 4 3 2" xfId="14577" xr:uid="{0C25C80C-7F4C-4154-B975-17EF6ED2342D}"/>
    <cellStyle name="Normal 9 3 2 3 4 4" xfId="10359" xr:uid="{D8403F56-2761-4AD8-90CD-2A35C5327E9A}"/>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2FBF9195-9775-401F-828F-1B868C279450}"/>
    <cellStyle name="Normal 9 3 2 3 5 2 3" xfId="12917" xr:uid="{BC87D181-F600-477E-85E2-F5BD42D22A2A}"/>
    <cellStyle name="Normal 9 3 2 3 5 3" xfId="6548" xr:uid="{00000000-0005-0000-0000-0000E31F0000}"/>
    <cellStyle name="Normal 9 3 2 3 5 3 2" xfId="14990" xr:uid="{0FEFF8E5-47FB-4D01-BD2D-BE89BBD0977D}"/>
    <cellStyle name="Normal 9 3 2 3 5 4" xfId="10772" xr:uid="{8E6990EA-83F2-48DC-A26B-9577D63BC5DB}"/>
    <cellStyle name="Normal 9 3 2 3 6" xfId="2677" xr:uid="{00000000-0005-0000-0000-0000E41F0000}"/>
    <cellStyle name="Normal 9 3 2 3 6 2" xfId="6961" xr:uid="{00000000-0005-0000-0000-0000E51F0000}"/>
    <cellStyle name="Normal 9 3 2 3 6 2 2" xfId="15403" xr:uid="{2896ACCB-C97E-42D0-BC5A-D8D7FE35D4A3}"/>
    <cellStyle name="Normal 9 3 2 3 6 3" xfId="11185" xr:uid="{8441218F-587F-4E01-B087-6F3953358B19}"/>
    <cellStyle name="Normal 9 3 2 3 7" xfId="4896" xr:uid="{00000000-0005-0000-0000-0000E61F0000}"/>
    <cellStyle name="Normal 9 3 2 3 7 2" xfId="13338" xr:uid="{674CB3C7-6E84-4125-95BF-2848F8EAC507}"/>
    <cellStyle name="Normal 9 3 2 3 8" xfId="9120" xr:uid="{7DD693C9-0BBE-42C8-B9BD-8D055ED15D52}"/>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D24AAC93-2602-4EEB-A9AE-3D4F4255A166}"/>
    <cellStyle name="Normal 9 3 2 4 2 3" xfId="11675" xr:uid="{BB5F2466-E6DD-4A47-B097-41F30EA9E711}"/>
    <cellStyle name="Normal 9 3 2 4 3" xfId="5306" xr:uid="{00000000-0005-0000-0000-0000EA1F0000}"/>
    <cellStyle name="Normal 9 3 2 4 3 2" xfId="13748" xr:uid="{0301AFDD-CEBE-4C5B-BC21-431EDB6300A8}"/>
    <cellStyle name="Normal 9 3 2 4 4" xfId="9530" xr:uid="{9FBD0495-4DBC-44B2-9F59-CF1D7A38FC45}"/>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A371116C-0D17-41AA-9E2E-15AF67E8DE7C}"/>
    <cellStyle name="Normal 9 3 2 5 2 3" xfId="12088" xr:uid="{A422B387-5E34-4E4C-B9AA-30F8727548B3}"/>
    <cellStyle name="Normal 9 3 2 5 3" xfId="5719" xr:uid="{00000000-0005-0000-0000-0000EE1F0000}"/>
    <cellStyle name="Normal 9 3 2 5 3 2" xfId="14161" xr:uid="{22F76F1D-C0A0-4992-86B9-BE5754F950C6}"/>
    <cellStyle name="Normal 9 3 2 5 4" xfId="9943" xr:uid="{DBD12BB2-A68D-45E0-9CD4-FD462D67A9D5}"/>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4E3FA28D-43AF-4A3F-BF3E-BA138C81328E}"/>
    <cellStyle name="Normal 9 3 2 6 2 3" xfId="12501" xr:uid="{0D99D3B5-A53B-486D-987C-149890CF0503}"/>
    <cellStyle name="Normal 9 3 2 6 3" xfId="6132" xr:uid="{00000000-0005-0000-0000-0000F21F0000}"/>
    <cellStyle name="Normal 9 3 2 6 3 2" xfId="14574" xr:uid="{C27D16D0-0B58-4190-8F18-061A837106BB}"/>
    <cellStyle name="Normal 9 3 2 6 4" xfId="10356" xr:uid="{CFFF07EA-F5EC-4D2E-B321-CCBEAFEB9CA2}"/>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D10F4D84-3015-4FB6-8C41-8CAB3E4C2D25}"/>
    <cellStyle name="Normal 9 3 2 7 2 3" xfId="12914" xr:uid="{12BE25ED-7FB1-498E-9EC8-F4273A8B5F90}"/>
    <cellStyle name="Normal 9 3 2 7 3" xfId="6545" xr:uid="{00000000-0005-0000-0000-0000F61F0000}"/>
    <cellStyle name="Normal 9 3 2 7 3 2" xfId="14987" xr:uid="{AD2AE2B9-AE92-4BD9-AE45-E81D120AD8C6}"/>
    <cellStyle name="Normal 9 3 2 7 4" xfId="10769" xr:uid="{49C8241A-4F9F-4366-9D4F-B7595CACC9B7}"/>
    <cellStyle name="Normal 9 3 2 8" xfId="2674" xr:uid="{00000000-0005-0000-0000-0000F71F0000}"/>
    <cellStyle name="Normal 9 3 2 8 2" xfId="6958" xr:uid="{00000000-0005-0000-0000-0000F81F0000}"/>
    <cellStyle name="Normal 9 3 2 8 2 2" xfId="15400" xr:uid="{A4BE47A8-3E88-40C0-B416-C27974872943}"/>
    <cellStyle name="Normal 9 3 2 8 3" xfId="11182" xr:uid="{CB2BC234-0173-46AE-AA36-50634DBB1443}"/>
    <cellStyle name="Normal 9 3 2 9" xfId="4893" xr:uid="{00000000-0005-0000-0000-0000F91F0000}"/>
    <cellStyle name="Normal 9 3 2 9 2" xfId="13335" xr:uid="{765DA8A6-EFE6-4E0B-B353-C04AAA7F74C5}"/>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49D26E69-6071-4560-89F1-88A0411D4D7E}"/>
    <cellStyle name="Normal 9 3 3 2 2 2 3" xfId="11680" xr:uid="{DD57450D-8F1F-41F2-A1F1-801AACB2172C}"/>
    <cellStyle name="Normal 9 3 3 2 2 3" xfId="5311" xr:uid="{00000000-0005-0000-0000-0000FF1F0000}"/>
    <cellStyle name="Normal 9 3 3 2 2 3 2" xfId="13753" xr:uid="{7675A0FF-56AA-40D9-8920-19BD8518BE5F}"/>
    <cellStyle name="Normal 9 3 3 2 2 4" xfId="9535" xr:uid="{4ED279F9-D815-4AD0-A561-0D02B4D126B8}"/>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7C036409-8D7E-407D-A519-A57FB2E48115}"/>
    <cellStyle name="Normal 9 3 3 2 3 2 3" xfId="12093" xr:uid="{35C2A891-3807-402B-BA5B-211D8BFB6160}"/>
    <cellStyle name="Normal 9 3 3 2 3 3" xfId="5724" xr:uid="{00000000-0005-0000-0000-000003200000}"/>
    <cellStyle name="Normal 9 3 3 2 3 3 2" xfId="14166" xr:uid="{A4421C6D-C069-4BEE-834E-8DE2B3B03715}"/>
    <cellStyle name="Normal 9 3 3 2 3 4" xfId="9948" xr:uid="{ED7F0A07-82B8-4D95-91B1-CDF6C7269990}"/>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FBBD7655-0F49-4205-9B1C-2BCA007CBBC6}"/>
    <cellStyle name="Normal 9 3 3 2 4 2 3" xfId="12506" xr:uid="{42FC666A-11C2-43AA-93FC-593258CC82D6}"/>
    <cellStyle name="Normal 9 3 3 2 4 3" xfId="6137" xr:uid="{00000000-0005-0000-0000-000007200000}"/>
    <cellStyle name="Normal 9 3 3 2 4 3 2" xfId="14579" xr:uid="{82404254-3429-433E-BF81-4D0A844A356D}"/>
    <cellStyle name="Normal 9 3 3 2 4 4" xfId="10361" xr:uid="{2C2D0FFE-33F7-42B6-B02C-C460E7EC8FFF}"/>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2DB4FBA1-FF26-41E1-BC6A-90DC658BC46D}"/>
    <cellStyle name="Normal 9 3 3 2 5 2 3" xfId="12919" xr:uid="{C2BC6361-C841-4250-8FEC-E0E39DF8F4D6}"/>
    <cellStyle name="Normal 9 3 3 2 5 3" xfId="6550" xr:uid="{00000000-0005-0000-0000-00000B200000}"/>
    <cellStyle name="Normal 9 3 3 2 5 3 2" xfId="14992" xr:uid="{82121E18-4BBC-46C7-A340-C487EF9C9BB7}"/>
    <cellStyle name="Normal 9 3 3 2 5 4" xfId="10774" xr:uid="{8CEE78B6-D093-4637-99B0-5BD9072CA161}"/>
    <cellStyle name="Normal 9 3 3 2 6" xfId="2679" xr:uid="{00000000-0005-0000-0000-00000C200000}"/>
    <cellStyle name="Normal 9 3 3 2 6 2" xfId="6963" xr:uid="{00000000-0005-0000-0000-00000D200000}"/>
    <cellStyle name="Normal 9 3 3 2 6 2 2" xfId="15405" xr:uid="{3E0407B1-F13A-4ABC-A58A-BB994AC2E94A}"/>
    <cellStyle name="Normal 9 3 3 2 6 3" xfId="11187" xr:uid="{12000D92-C4BE-47B4-BDF9-A5AC82BDDDAA}"/>
    <cellStyle name="Normal 9 3 3 2 7" xfId="4898" xr:uid="{00000000-0005-0000-0000-00000E200000}"/>
    <cellStyle name="Normal 9 3 3 2 7 2" xfId="13340" xr:uid="{13DE4AB6-72B0-4990-8899-C5E61336972E}"/>
    <cellStyle name="Normal 9 3 3 2 8" xfId="9122" xr:uid="{56519483-C75F-45D6-B203-7F5890709292}"/>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164D02E5-55EF-4EE3-96C1-526E61E53E8E}"/>
    <cellStyle name="Normal 9 3 3 3 2 3" xfId="11679" xr:uid="{4134499F-A0FA-4DA1-82ED-B08960CD38EB}"/>
    <cellStyle name="Normal 9 3 3 3 3" xfId="5310" xr:uid="{00000000-0005-0000-0000-000012200000}"/>
    <cellStyle name="Normal 9 3 3 3 3 2" xfId="13752" xr:uid="{7C30E627-05CC-4C28-ACEB-97ECC83B9A70}"/>
    <cellStyle name="Normal 9 3 3 3 4" xfId="9534" xr:uid="{97ABFAD7-D26B-4CFB-A244-AE7D4B54FBCC}"/>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1297137A-8931-4882-BEF1-8225C68E6663}"/>
    <cellStyle name="Normal 9 3 3 4 2 3" xfId="12092" xr:uid="{BF582A3F-BD60-4080-BD73-84ACB290FC99}"/>
    <cellStyle name="Normal 9 3 3 4 3" xfId="5723" xr:uid="{00000000-0005-0000-0000-000016200000}"/>
    <cellStyle name="Normal 9 3 3 4 3 2" xfId="14165" xr:uid="{16F8E9BC-2031-45B2-A37F-CBA206110FB9}"/>
    <cellStyle name="Normal 9 3 3 4 4" xfId="9947" xr:uid="{64DAC357-DB41-4730-9B09-1B8CB0D53992}"/>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2DC9568A-84E0-4C42-A46C-5BCE34892EAA}"/>
    <cellStyle name="Normal 9 3 3 5 2 3" xfId="12505" xr:uid="{A94BAD88-3FF0-41C9-AC30-B42D422B08C5}"/>
    <cellStyle name="Normal 9 3 3 5 3" xfId="6136" xr:uid="{00000000-0005-0000-0000-00001A200000}"/>
    <cellStyle name="Normal 9 3 3 5 3 2" xfId="14578" xr:uid="{9325E7EE-0C79-415D-9BD4-E0AC422CA8F2}"/>
    <cellStyle name="Normal 9 3 3 5 4" xfId="10360" xr:uid="{45FE3C1C-FE4B-45F2-966A-F14A786F21E2}"/>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99FC9FFA-8B34-4F26-B1FA-4D14DC59955E}"/>
    <cellStyle name="Normal 9 3 3 6 2 3" xfId="12918" xr:uid="{D7401974-57D2-4C19-A992-901A38AFC4CC}"/>
    <cellStyle name="Normal 9 3 3 6 3" xfId="6549" xr:uid="{00000000-0005-0000-0000-00001E200000}"/>
    <cellStyle name="Normal 9 3 3 6 3 2" xfId="14991" xr:uid="{E1164A0D-4040-467C-A947-B7855EA8FC6A}"/>
    <cellStyle name="Normal 9 3 3 6 4" xfId="10773" xr:uid="{77BDE030-C69C-4FF8-A555-BF3BC8BDAA42}"/>
    <cellStyle name="Normal 9 3 3 7" xfId="2678" xr:uid="{00000000-0005-0000-0000-00001F200000}"/>
    <cellStyle name="Normal 9 3 3 7 2" xfId="6962" xr:uid="{00000000-0005-0000-0000-000020200000}"/>
    <cellStyle name="Normal 9 3 3 7 2 2" xfId="15404" xr:uid="{21BD412A-1C66-4CCF-956C-350F21681853}"/>
    <cellStyle name="Normal 9 3 3 7 3" xfId="11186" xr:uid="{C8F454AE-4B4D-4C97-9815-AB7168688F1F}"/>
    <cellStyle name="Normal 9 3 3 8" xfId="4897" xr:uid="{00000000-0005-0000-0000-000021200000}"/>
    <cellStyle name="Normal 9 3 3 8 2" xfId="13339" xr:uid="{921FABB5-DD67-4F21-B5AF-9E4A6664C7DC}"/>
    <cellStyle name="Normal 9 3 3 9" xfId="9121" xr:uid="{CB55F096-20F2-4F36-9D25-AA86FDC4922B}"/>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4F28FEF9-C12B-4835-8C1A-C9FCD8C49CD8}"/>
    <cellStyle name="Normal 9 3 4 2 2 3" xfId="11681" xr:uid="{6D60EEAC-0B0F-4122-84AB-2139A75DE8E5}"/>
    <cellStyle name="Normal 9 3 4 2 3" xfId="5312" xr:uid="{00000000-0005-0000-0000-000026200000}"/>
    <cellStyle name="Normal 9 3 4 2 3 2" xfId="13754" xr:uid="{AFF29360-76DD-4B91-AC8C-C4840A2B991A}"/>
    <cellStyle name="Normal 9 3 4 2 4" xfId="9536" xr:uid="{EE2C0F12-C935-4D60-BCCD-0786EF09F4B4}"/>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620F7C0A-1CD7-4807-BD5B-3DC16F7D7A07}"/>
    <cellStyle name="Normal 9 3 4 3 2 3" xfId="12094" xr:uid="{FC0B278B-8EA9-4539-AB9C-65DDA841F61D}"/>
    <cellStyle name="Normal 9 3 4 3 3" xfId="5725" xr:uid="{00000000-0005-0000-0000-00002A200000}"/>
    <cellStyle name="Normal 9 3 4 3 3 2" xfId="14167" xr:uid="{48B03ADF-E892-4689-B0A0-4579C6F56A39}"/>
    <cellStyle name="Normal 9 3 4 3 4" xfId="9949" xr:uid="{8CFF7FDF-1715-4F5F-B53B-8E6DE52E83FA}"/>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E15277D4-9D4F-45B4-A98D-FA9D09EDFFD7}"/>
    <cellStyle name="Normal 9 3 4 4 2 3" xfId="12507" xr:uid="{C26F4810-6B90-47CB-8555-3CEC9B7CED40}"/>
    <cellStyle name="Normal 9 3 4 4 3" xfId="6138" xr:uid="{00000000-0005-0000-0000-00002E200000}"/>
    <cellStyle name="Normal 9 3 4 4 3 2" xfId="14580" xr:uid="{C585C578-3541-41C2-93E1-D1C48A486E16}"/>
    <cellStyle name="Normal 9 3 4 4 4" xfId="10362" xr:uid="{706326C3-9930-460A-B368-7E9113C97EF7}"/>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47F7E62D-7AE1-4D1E-B086-AEEDAD8ECDD8}"/>
    <cellStyle name="Normal 9 3 4 5 2 3" xfId="12920" xr:uid="{07405F51-C79C-40CD-AE21-EC772DEFF877}"/>
    <cellStyle name="Normal 9 3 4 5 3" xfId="6551" xr:uid="{00000000-0005-0000-0000-000032200000}"/>
    <cellStyle name="Normal 9 3 4 5 3 2" xfId="14993" xr:uid="{40C73985-8878-44F7-8060-63D2AD97B7F0}"/>
    <cellStyle name="Normal 9 3 4 5 4" xfId="10775" xr:uid="{E49A8166-83D7-4D0B-9773-29A1DB29FAB4}"/>
    <cellStyle name="Normal 9 3 4 6" xfId="2680" xr:uid="{00000000-0005-0000-0000-000033200000}"/>
    <cellStyle name="Normal 9 3 4 6 2" xfId="6964" xr:uid="{00000000-0005-0000-0000-000034200000}"/>
    <cellStyle name="Normal 9 3 4 6 2 2" xfId="15406" xr:uid="{9E64D296-B7DB-4250-B1E8-783BAFE75985}"/>
    <cellStyle name="Normal 9 3 4 6 3" xfId="11188" xr:uid="{B1C7C694-E142-4841-825E-E405586A32AD}"/>
    <cellStyle name="Normal 9 3 4 7" xfId="4899" xr:uid="{00000000-0005-0000-0000-000035200000}"/>
    <cellStyle name="Normal 9 3 4 7 2" xfId="13341" xr:uid="{799FAF37-4432-4D5D-801E-11B2422E65DF}"/>
    <cellStyle name="Normal 9 3 4 8" xfId="9123" xr:uid="{3836ED07-DCCD-4E48-9D4D-10042E22E2C7}"/>
    <cellStyle name="Normal 9 3 5" xfId="994" xr:uid="{00000000-0005-0000-0000-000036200000}"/>
    <cellStyle name="Normal 9 3 5 2" xfId="3227" xr:uid="{00000000-0005-0000-0000-000037200000}"/>
    <cellStyle name="Normal 9 3 5 2 2" xfId="7450" xr:uid="{00000000-0005-0000-0000-000038200000}"/>
    <cellStyle name="Normal 9 3 5 2 2 2" xfId="15892" xr:uid="{D8241E75-CA96-49FD-B256-6059CC1ABE7E}"/>
    <cellStyle name="Normal 9 3 5 2 3" xfId="11674" xr:uid="{DA6F1F7D-4EDB-4608-AFA4-B1E145D83C4E}"/>
    <cellStyle name="Normal 9 3 5 3" xfId="5305" xr:uid="{00000000-0005-0000-0000-000039200000}"/>
    <cellStyle name="Normal 9 3 5 3 2" xfId="13747" xr:uid="{36E416CF-38FC-441C-8071-A49BFC620CE3}"/>
    <cellStyle name="Normal 9 3 5 4" xfId="9529" xr:uid="{C8A901E1-E2F1-49D3-8901-E3268E6CAB11}"/>
    <cellStyle name="Normal 9 3 6" xfId="1410" xr:uid="{00000000-0005-0000-0000-00003A200000}"/>
    <cellStyle name="Normal 9 3 6 2" xfId="3640" xr:uid="{00000000-0005-0000-0000-00003B200000}"/>
    <cellStyle name="Normal 9 3 6 2 2" xfId="7863" xr:uid="{00000000-0005-0000-0000-00003C200000}"/>
    <cellStyle name="Normal 9 3 6 2 2 2" xfId="16305" xr:uid="{B62BF4D7-A1B2-4119-B90A-ECF65C7D71B9}"/>
    <cellStyle name="Normal 9 3 6 2 3" xfId="12087" xr:uid="{BDFD4965-E6B4-4558-B392-036A1A977F14}"/>
    <cellStyle name="Normal 9 3 6 3" xfId="5718" xr:uid="{00000000-0005-0000-0000-00003D200000}"/>
    <cellStyle name="Normal 9 3 6 3 2" xfId="14160" xr:uid="{0754E04D-5349-4004-B5C7-271D12A685B8}"/>
    <cellStyle name="Normal 9 3 6 4" xfId="9942" xr:uid="{C5235CB1-72BC-4DE3-A258-E3494C347120}"/>
    <cellStyle name="Normal 9 3 7" xfId="1823" xr:uid="{00000000-0005-0000-0000-00003E200000}"/>
    <cellStyle name="Normal 9 3 7 2" xfId="4053" xr:uid="{00000000-0005-0000-0000-00003F200000}"/>
    <cellStyle name="Normal 9 3 7 2 2" xfId="8276" xr:uid="{00000000-0005-0000-0000-000040200000}"/>
    <cellStyle name="Normal 9 3 7 2 2 2" xfId="16718" xr:uid="{7AEA208A-59DE-40DE-BAD0-B9A15FA72CE2}"/>
    <cellStyle name="Normal 9 3 7 2 3" xfId="12500" xr:uid="{5E0F5449-5391-4061-A4EB-077A3445D37A}"/>
    <cellStyle name="Normal 9 3 7 3" xfId="6131" xr:uid="{00000000-0005-0000-0000-000041200000}"/>
    <cellStyle name="Normal 9 3 7 3 2" xfId="14573" xr:uid="{E0341520-E654-42C4-BF2D-E0A0FF7FDBFC}"/>
    <cellStyle name="Normal 9 3 7 4" xfId="10355" xr:uid="{33D810DB-476E-4AA0-8D11-12E363CE6225}"/>
    <cellStyle name="Normal 9 3 8" xfId="2237" xr:uid="{00000000-0005-0000-0000-000042200000}"/>
    <cellStyle name="Normal 9 3 8 2" xfId="4466" xr:uid="{00000000-0005-0000-0000-000043200000}"/>
    <cellStyle name="Normal 9 3 8 2 2" xfId="8689" xr:uid="{00000000-0005-0000-0000-000044200000}"/>
    <cellStyle name="Normal 9 3 8 2 2 2" xfId="17131" xr:uid="{217DED33-4644-41D1-90A2-E329FF81D788}"/>
    <cellStyle name="Normal 9 3 8 2 3" xfId="12913" xr:uid="{914AE7EC-DF24-4A42-A9D7-58A2C20E0027}"/>
    <cellStyle name="Normal 9 3 8 3" xfId="6544" xr:uid="{00000000-0005-0000-0000-000045200000}"/>
    <cellStyle name="Normal 9 3 8 3 2" xfId="14986" xr:uid="{44502DE4-F638-447A-A769-F3E7E7A93E3F}"/>
    <cellStyle name="Normal 9 3 8 4" xfId="10768" xr:uid="{C5C5E79A-2586-42BA-95AB-1DB4068B8C8E}"/>
    <cellStyle name="Normal 9 3 9" xfId="2673" xr:uid="{00000000-0005-0000-0000-000046200000}"/>
    <cellStyle name="Normal 9 3 9 2" xfId="6957" xr:uid="{00000000-0005-0000-0000-000047200000}"/>
    <cellStyle name="Normal 9 3 9 2 2" xfId="15399" xr:uid="{E1C13233-65E8-4B4E-A9D7-24EEEB181AAF}"/>
    <cellStyle name="Normal 9 3 9 3" xfId="11181" xr:uid="{6601451F-9ED6-4E50-9A24-85C9EE78D36C}"/>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C6583FCF-0300-4343-8F53-9E248CB977A5}"/>
    <cellStyle name="Normal 9 5 2 2 2 3" xfId="11683" xr:uid="{AA4822B4-669D-4743-8598-7F915F5D13D5}"/>
    <cellStyle name="Normal 9 5 2 2 3" xfId="5314" xr:uid="{00000000-0005-0000-0000-00004F200000}"/>
    <cellStyle name="Normal 9 5 2 2 3 2" xfId="13756" xr:uid="{422E5528-B2AE-4A1E-9D33-F95A8DA9BE75}"/>
    <cellStyle name="Normal 9 5 2 2 4" xfId="9538" xr:uid="{683DD72E-6581-46D8-B200-122A3F57FCD6}"/>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58198E59-77F1-46A8-AD12-8D1C03C897F0}"/>
    <cellStyle name="Normal 9 5 2 3 2 3" xfId="12096" xr:uid="{7D1C6CB5-5C1B-4688-AB8E-463C2EB95489}"/>
    <cellStyle name="Normal 9 5 2 3 3" xfId="5727" xr:uid="{00000000-0005-0000-0000-000053200000}"/>
    <cellStyle name="Normal 9 5 2 3 3 2" xfId="14169" xr:uid="{A7F35433-E934-4F06-8408-2961537C594B}"/>
    <cellStyle name="Normal 9 5 2 3 4" xfId="9951" xr:uid="{AA5904B6-38A9-4161-ABB0-CE90277405A4}"/>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E6E2DF8D-41B5-4539-BEE7-56A36415D3EF}"/>
    <cellStyle name="Normal 9 5 2 4 2 3" xfId="12509" xr:uid="{4E93456C-DFAA-43F9-8D44-F1D735A6F491}"/>
    <cellStyle name="Normal 9 5 2 4 3" xfId="6140" xr:uid="{00000000-0005-0000-0000-000057200000}"/>
    <cellStyle name="Normal 9 5 2 4 3 2" xfId="14582" xr:uid="{180A4DEC-C9EA-402E-A2E3-DC11D35CBEAD}"/>
    <cellStyle name="Normal 9 5 2 4 4" xfId="10364" xr:uid="{EC1235BD-46EF-4188-817E-A1AFB81750AC}"/>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F3A54CB0-7B66-4294-875E-67443DD4F5C6}"/>
    <cellStyle name="Normal 9 5 2 5 2 3" xfId="12922" xr:uid="{591C448E-BE57-4B42-93DF-7C1BEBFB2EC8}"/>
    <cellStyle name="Normal 9 5 2 5 3" xfId="6553" xr:uid="{00000000-0005-0000-0000-00005B200000}"/>
    <cellStyle name="Normal 9 5 2 5 3 2" xfId="14995" xr:uid="{D7770CEB-B04F-40F1-AFB6-9EEDF88E1558}"/>
    <cellStyle name="Normal 9 5 2 5 4" xfId="10777" xr:uid="{C140CE88-5FA2-45C1-873E-735FA260F02C}"/>
    <cellStyle name="Normal 9 5 2 6" xfId="2682" xr:uid="{00000000-0005-0000-0000-00005C200000}"/>
    <cellStyle name="Normal 9 5 2 6 2" xfId="6966" xr:uid="{00000000-0005-0000-0000-00005D200000}"/>
    <cellStyle name="Normal 9 5 2 6 2 2" xfId="15408" xr:uid="{8AF733CF-8BBA-4F23-A8EF-0DFC7D62814D}"/>
    <cellStyle name="Normal 9 5 2 6 3" xfId="11190" xr:uid="{05BA0827-F08B-400A-82A1-E182376E4F74}"/>
    <cellStyle name="Normal 9 5 2 7" xfId="4901" xr:uid="{00000000-0005-0000-0000-00005E200000}"/>
    <cellStyle name="Normal 9 5 2 7 2" xfId="13343" xr:uid="{50DA4904-40C9-4E7A-B170-15AA5D18529E}"/>
    <cellStyle name="Normal 9 5 2 8" xfId="9125" xr:uid="{73F04C7B-950F-4456-9910-31269BC9B19F}"/>
    <cellStyle name="Normal 9 5 3" xfId="1003" xr:uid="{00000000-0005-0000-0000-00005F200000}"/>
    <cellStyle name="Normal 9 5 3 2" xfId="3235" xr:uid="{00000000-0005-0000-0000-000060200000}"/>
    <cellStyle name="Normal 9 5 3 2 2" xfId="7458" xr:uid="{00000000-0005-0000-0000-000061200000}"/>
    <cellStyle name="Normal 9 5 3 2 2 2" xfId="15900" xr:uid="{16BF064F-55E9-4E63-B493-A83967C48F28}"/>
    <cellStyle name="Normal 9 5 3 2 3" xfId="11682" xr:uid="{76F5C173-4445-4DD4-8D8E-4E4E1B52EFDD}"/>
    <cellStyle name="Normal 9 5 3 3" xfId="5313" xr:uid="{00000000-0005-0000-0000-000062200000}"/>
    <cellStyle name="Normal 9 5 3 3 2" xfId="13755" xr:uid="{0A312322-20E1-4485-BF7E-516A2371C5D8}"/>
    <cellStyle name="Normal 9 5 3 4" xfId="9537" xr:uid="{3383A27A-E9C8-4DEB-99D7-1D2CC183100F}"/>
    <cellStyle name="Normal 9 5 4" xfId="1418" xr:uid="{00000000-0005-0000-0000-000063200000}"/>
    <cellStyle name="Normal 9 5 4 2" xfId="3648" xr:uid="{00000000-0005-0000-0000-000064200000}"/>
    <cellStyle name="Normal 9 5 4 2 2" xfId="7871" xr:uid="{00000000-0005-0000-0000-000065200000}"/>
    <cellStyle name="Normal 9 5 4 2 2 2" xfId="16313" xr:uid="{6B173CFB-BB2F-4A3D-80F0-7CBDC829190E}"/>
    <cellStyle name="Normal 9 5 4 2 3" xfId="12095" xr:uid="{6A8738A2-07FF-4B9A-A8A3-1C7B22B58BA8}"/>
    <cellStyle name="Normal 9 5 4 3" xfId="5726" xr:uid="{00000000-0005-0000-0000-000066200000}"/>
    <cellStyle name="Normal 9 5 4 3 2" xfId="14168" xr:uid="{3BE3B9A1-A345-4350-BFF0-33CA5A73FA13}"/>
    <cellStyle name="Normal 9 5 4 4" xfId="9950" xr:uid="{2DA06E65-D532-43A0-852C-D4807FC5D67D}"/>
    <cellStyle name="Normal 9 5 5" xfId="1831" xr:uid="{00000000-0005-0000-0000-000067200000}"/>
    <cellStyle name="Normal 9 5 5 2" xfId="4061" xr:uid="{00000000-0005-0000-0000-000068200000}"/>
    <cellStyle name="Normal 9 5 5 2 2" xfId="8284" xr:uid="{00000000-0005-0000-0000-000069200000}"/>
    <cellStyle name="Normal 9 5 5 2 2 2" xfId="16726" xr:uid="{C5051EDA-DE9F-4F57-9FBE-58FB93FFCCE8}"/>
    <cellStyle name="Normal 9 5 5 2 3" xfId="12508" xr:uid="{551C101E-F98C-480A-AF69-939FC978F836}"/>
    <cellStyle name="Normal 9 5 5 3" xfId="6139" xr:uid="{00000000-0005-0000-0000-00006A200000}"/>
    <cellStyle name="Normal 9 5 5 3 2" xfId="14581" xr:uid="{DAE7A42D-615D-465E-BF80-DF6744E61285}"/>
    <cellStyle name="Normal 9 5 5 4" xfId="10363" xr:uid="{3BD766EB-6324-4B6C-81F3-A8AB2805D855}"/>
    <cellStyle name="Normal 9 5 6" xfId="2245" xr:uid="{00000000-0005-0000-0000-00006B200000}"/>
    <cellStyle name="Normal 9 5 6 2" xfId="4474" xr:uid="{00000000-0005-0000-0000-00006C200000}"/>
    <cellStyle name="Normal 9 5 6 2 2" xfId="8697" xr:uid="{00000000-0005-0000-0000-00006D200000}"/>
    <cellStyle name="Normal 9 5 6 2 2 2" xfId="17139" xr:uid="{9BA79168-1160-4868-8756-CD2387460A06}"/>
    <cellStyle name="Normal 9 5 6 2 3" xfId="12921" xr:uid="{9BBFC35A-9234-4879-AB8C-4EF48115CBBA}"/>
    <cellStyle name="Normal 9 5 6 3" xfId="6552" xr:uid="{00000000-0005-0000-0000-00006E200000}"/>
    <cellStyle name="Normal 9 5 6 3 2" xfId="14994" xr:uid="{8042CC85-0BAF-4DE0-B203-CBD376ED0657}"/>
    <cellStyle name="Normal 9 5 6 4" xfId="10776" xr:uid="{1FA7C8A2-5E89-444C-B600-A2F98C3D98A5}"/>
    <cellStyle name="Normal 9 5 7" xfId="2681" xr:uid="{00000000-0005-0000-0000-00006F200000}"/>
    <cellStyle name="Normal 9 5 7 2" xfId="6965" xr:uid="{00000000-0005-0000-0000-000070200000}"/>
    <cellStyle name="Normal 9 5 7 2 2" xfId="15407" xr:uid="{D09866A4-132F-4C28-97AC-502BE7F0D83A}"/>
    <cellStyle name="Normal 9 5 7 3" xfId="11189" xr:uid="{7748CDB8-FB70-4BF0-B17D-D43C072A60A7}"/>
    <cellStyle name="Normal 9 5 8" xfId="4900" xr:uid="{00000000-0005-0000-0000-000071200000}"/>
    <cellStyle name="Normal 9 5 8 2" xfId="13342" xr:uid="{C23822DD-65BF-4E2D-961A-7978572C8172}"/>
    <cellStyle name="Normal 9 5 9" xfId="9124" xr:uid="{EF49A3BC-8821-4AC4-9C80-395AD3BDDCCC}"/>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9B055C30-2902-42E0-B14E-1220ABFE53F8}"/>
    <cellStyle name="Normal 9 6 2 2 3" xfId="11684" xr:uid="{85D9E7EF-682F-4F78-9C82-FA1916432937}"/>
    <cellStyle name="Normal 9 6 2 3" xfId="5315" xr:uid="{00000000-0005-0000-0000-000076200000}"/>
    <cellStyle name="Normal 9 6 2 3 2" xfId="13757" xr:uid="{11AD2016-9DD7-4763-9953-E77E7AC41947}"/>
    <cellStyle name="Normal 9 6 2 4" xfId="9539" xr:uid="{F4778B87-642C-45B0-9BD1-8E0CBF197491}"/>
    <cellStyle name="Normal 9 6 3" xfId="1420" xr:uid="{00000000-0005-0000-0000-000077200000}"/>
    <cellStyle name="Normal 9 6 3 2" xfId="3650" xr:uid="{00000000-0005-0000-0000-000078200000}"/>
    <cellStyle name="Normal 9 6 3 2 2" xfId="7873" xr:uid="{00000000-0005-0000-0000-000079200000}"/>
    <cellStyle name="Normal 9 6 3 2 2 2" xfId="16315" xr:uid="{91474D2C-5657-464B-ABB4-C7095C71E4F7}"/>
    <cellStyle name="Normal 9 6 3 2 3" xfId="12097" xr:uid="{A17836C1-E2B1-4983-A0BB-E64DEC95E946}"/>
    <cellStyle name="Normal 9 6 3 3" xfId="5728" xr:uid="{00000000-0005-0000-0000-00007A200000}"/>
    <cellStyle name="Normal 9 6 3 3 2" xfId="14170" xr:uid="{7C1C6B81-A905-4046-9350-D1D8043C2547}"/>
    <cellStyle name="Normal 9 6 3 4" xfId="9952" xr:uid="{C2576A8B-BBDA-4EFD-90F9-CC10DC269231}"/>
    <cellStyle name="Normal 9 6 4" xfId="1833" xr:uid="{00000000-0005-0000-0000-00007B200000}"/>
    <cellStyle name="Normal 9 6 4 2" xfId="4063" xr:uid="{00000000-0005-0000-0000-00007C200000}"/>
    <cellStyle name="Normal 9 6 4 2 2" xfId="8286" xr:uid="{00000000-0005-0000-0000-00007D200000}"/>
    <cellStyle name="Normal 9 6 4 2 2 2" xfId="16728" xr:uid="{16B2EF88-15CF-414E-A850-FF121B71AEE9}"/>
    <cellStyle name="Normal 9 6 4 2 3" xfId="12510" xr:uid="{5CD8CE80-C0F0-46A5-A707-FDB824F3D030}"/>
    <cellStyle name="Normal 9 6 4 3" xfId="6141" xr:uid="{00000000-0005-0000-0000-00007E200000}"/>
    <cellStyle name="Normal 9 6 4 3 2" xfId="14583" xr:uid="{EF4CD368-BFD8-4E95-9ABA-3924EC7ED993}"/>
    <cellStyle name="Normal 9 6 4 4" xfId="10365" xr:uid="{CF2AF115-87D9-4CC9-AF9D-B1A712A690E1}"/>
    <cellStyle name="Normal 9 6 5" xfId="2247" xr:uid="{00000000-0005-0000-0000-00007F200000}"/>
    <cellStyle name="Normal 9 6 5 2" xfId="4476" xr:uid="{00000000-0005-0000-0000-000080200000}"/>
    <cellStyle name="Normal 9 6 5 2 2" xfId="8699" xr:uid="{00000000-0005-0000-0000-000081200000}"/>
    <cellStyle name="Normal 9 6 5 2 2 2" xfId="17141" xr:uid="{EE308898-E5FC-4555-B2D5-CA23FBFCF8B5}"/>
    <cellStyle name="Normal 9 6 5 2 3" xfId="12923" xr:uid="{2A60C00D-55BA-4CF9-9CCA-4BE9AFB02C5B}"/>
    <cellStyle name="Normal 9 6 5 3" xfId="6554" xr:uid="{00000000-0005-0000-0000-000082200000}"/>
    <cellStyle name="Normal 9 6 5 3 2" xfId="14996" xr:uid="{3A940D2D-EB2F-4CA9-A2A2-0B43733C7A4C}"/>
    <cellStyle name="Normal 9 6 5 4" xfId="10778" xr:uid="{A7DFFE1B-ED74-452D-A08F-17B6368FEA02}"/>
    <cellStyle name="Normal 9 6 6" xfId="2683" xr:uid="{00000000-0005-0000-0000-000083200000}"/>
    <cellStyle name="Normal 9 6 6 2" xfId="6967" xr:uid="{00000000-0005-0000-0000-000084200000}"/>
    <cellStyle name="Normal 9 6 6 2 2" xfId="15409" xr:uid="{A253BEED-E2C6-4DCF-B063-CB9E61CCBBFB}"/>
    <cellStyle name="Normal 9 6 6 3" xfId="11191" xr:uid="{AA0662B9-7917-4527-99F4-479A8F132838}"/>
    <cellStyle name="Normal 9 6 7" xfId="4902" xr:uid="{00000000-0005-0000-0000-000085200000}"/>
    <cellStyle name="Normal 9 6 7 2" xfId="13344" xr:uid="{C7AFD1D9-E637-4B0B-AA7E-A73BAAE47693}"/>
    <cellStyle name="Normal 9 6 8" xfId="9126" xr:uid="{655590F0-DAC0-4726-9EA8-1EE881679F2B}"/>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AD3731FB-372C-4007-B5E6-18C36863D5BC}"/>
    <cellStyle name="Note 2 2 10 3" xfId="11272" xr:uid="{22D16FF1-DAD3-4D98-8F9C-A98D0CF27DBF}"/>
    <cellStyle name="Note 2 2 11" xfId="4903" xr:uid="{00000000-0005-0000-0000-000094200000}"/>
    <cellStyle name="Note 2 2 11 2" xfId="13345" xr:uid="{0C2F4A55-623D-4610-8550-2A6A31FF170B}"/>
    <cellStyle name="Note 2 2 12" xfId="9127" xr:uid="{1C55CDB8-08DA-4981-8B98-AAD26280151A}"/>
    <cellStyle name="Note 2 2 2" xfId="546" xr:uid="{00000000-0005-0000-0000-000095200000}"/>
    <cellStyle name="Note 2 2 2 10" xfId="4904" xr:uid="{00000000-0005-0000-0000-000096200000}"/>
    <cellStyle name="Note 2 2 2 10 2" xfId="13346" xr:uid="{D2307D4F-1591-4C99-9DA0-F5F3F6E51E43}"/>
    <cellStyle name="Note 2 2 2 11" xfId="9128" xr:uid="{862EC70C-55A2-4DA3-AC85-4A0BDFA8E8A5}"/>
    <cellStyle name="Note 2 2 2 2" xfId="547" xr:uid="{00000000-0005-0000-0000-000097200000}"/>
    <cellStyle name="Note 2 2 2 2 10" xfId="9129" xr:uid="{59855D1B-A317-4786-8C36-E5489EB4D3D3}"/>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EA4D42A8-92F4-4EC7-AAF9-4CC2CC1118FF}"/>
    <cellStyle name="Note 2 2 2 2 2 2 3" xfId="11687" xr:uid="{C0792F7F-C137-46B9-BC3F-AEDE5B29CC12}"/>
    <cellStyle name="Note 2 2 2 2 2 3" xfId="5318" xr:uid="{00000000-0005-0000-0000-00009B200000}"/>
    <cellStyle name="Note 2 2 2 2 2 3 2" xfId="13760" xr:uid="{C635B5EE-B18F-48A4-8847-F8EF51DCF781}"/>
    <cellStyle name="Note 2 2 2 2 2 4" xfId="9542" xr:uid="{CC57E682-0F9B-4309-A7F9-9875DF666A5F}"/>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8641732A-7057-4489-A108-42635BF74CB3}"/>
    <cellStyle name="Note 2 2 2 2 3 2 3" xfId="12100" xr:uid="{E820F932-DDA1-4466-BE27-52E5F26B2CFF}"/>
    <cellStyle name="Note 2 2 2 2 3 3" xfId="5731" xr:uid="{00000000-0005-0000-0000-00009F200000}"/>
    <cellStyle name="Note 2 2 2 2 3 3 2" xfId="14173" xr:uid="{57DA588D-6474-478C-9F4C-B3EEE027FEDB}"/>
    <cellStyle name="Note 2 2 2 2 3 4" xfId="9955" xr:uid="{0C8F5642-4C92-486B-B4A3-6677C5CE4B5D}"/>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F9F705D6-BB69-4FBE-B573-A8B871E14D34}"/>
    <cellStyle name="Note 2 2 2 2 4 2 3" xfId="12513" xr:uid="{C2502808-3766-4EB3-AFD4-3D0EB160E85D}"/>
    <cellStyle name="Note 2 2 2 2 4 3" xfId="6144" xr:uid="{00000000-0005-0000-0000-0000A3200000}"/>
    <cellStyle name="Note 2 2 2 2 4 3 2" xfId="14586" xr:uid="{15358D24-D614-49EA-B8B2-8B8F0F3917CF}"/>
    <cellStyle name="Note 2 2 2 2 4 4" xfId="10368" xr:uid="{38F7397B-D9AB-4DAE-B741-A76C2B275F45}"/>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6D39E2BA-B49C-4A5B-89F3-DAA8BB87D744}"/>
    <cellStyle name="Note 2 2 2 2 5 2 3" xfId="12926" xr:uid="{D2F3B2B2-BCA8-45CC-A46B-B4937EA7920D}"/>
    <cellStyle name="Note 2 2 2 2 5 3" xfId="6557" xr:uid="{00000000-0005-0000-0000-0000A7200000}"/>
    <cellStyle name="Note 2 2 2 2 5 3 2" xfId="14999" xr:uid="{6B6C7B4A-6DEC-4082-8F5B-A4734437583A}"/>
    <cellStyle name="Note 2 2 2 2 5 4" xfId="10781" xr:uid="{BECAF396-602B-4A1A-9D6F-55F3FEF30D70}"/>
    <cellStyle name="Note 2 2 2 2 6" xfId="2686" xr:uid="{00000000-0005-0000-0000-0000A8200000}"/>
    <cellStyle name="Note 2 2 2 2 6 2" xfId="6970" xr:uid="{00000000-0005-0000-0000-0000A9200000}"/>
    <cellStyle name="Note 2 2 2 2 6 2 2" xfId="15412" xr:uid="{2F54D89D-9806-4E26-90B1-7CDB0DE27853}"/>
    <cellStyle name="Note 2 2 2 2 6 3" xfId="11194" xr:uid="{0BCC73DA-AFE9-413F-A04A-D027CDFE9ED5}"/>
    <cellStyle name="Note 2 2 2 2 7" xfId="2745" xr:uid="{00000000-0005-0000-0000-0000AA200000}"/>
    <cellStyle name="Note 2 2 2 2 8" xfId="2826" xr:uid="{00000000-0005-0000-0000-0000AB200000}"/>
    <cellStyle name="Note 2 2 2 2 8 2" xfId="7050" xr:uid="{00000000-0005-0000-0000-0000AC200000}"/>
    <cellStyle name="Note 2 2 2 2 8 2 2" xfId="15492" xr:uid="{B17900F4-219F-4A11-82B9-D287018A12D1}"/>
    <cellStyle name="Note 2 2 2 2 8 3" xfId="11274" xr:uid="{F784D27E-B0F7-4976-9227-EE1182FD4019}"/>
    <cellStyle name="Note 2 2 2 2 9" xfId="4905" xr:uid="{00000000-0005-0000-0000-0000AD200000}"/>
    <cellStyle name="Note 2 2 2 2 9 2" xfId="13347" xr:uid="{C3CE117F-2C35-478F-BB11-0C548173A170}"/>
    <cellStyle name="Note 2 2 2 3" xfId="1007" xr:uid="{00000000-0005-0000-0000-0000AE200000}"/>
    <cellStyle name="Note 2 2 2 3 2" xfId="3239" xr:uid="{00000000-0005-0000-0000-0000AF200000}"/>
    <cellStyle name="Note 2 2 2 3 2 2" xfId="7462" xr:uid="{00000000-0005-0000-0000-0000B0200000}"/>
    <cellStyle name="Note 2 2 2 3 2 2 2" xfId="15904" xr:uid="{2E7EBD89-D12A-4E4E-B748-C3A3E7FA37A5}"/>
    <cellStyle name="Note 2 2 2 3 2 3" xfId="11686" xr:uid="{4F9A1F89-65F9-4063-A07F-BAAD7A808D1B}"/>
    <cellStyle name="Note 2 2 2 3 3" xfId="5317" xr:uid="{00000000-0005-0000-0000-0000B1200000}"/>
    <cellStyle name="Note 2 2 2 3 3 2" xfId="13759" xr:uid="{FEA25495-FB05-4B7B-9B4D-7F7AE7268C3B}"/>
    <cellStyle name="Note 2 2 2 3 4" xfId="9541" xr:uid="{A43B6C87-D0A5-45CF-B9BB-E1DCF83BA916}"/>
    <cellStyle name="Note 2 2 2 4" xfId="1422" xr:uid="{00000000-0005-0000-0000-0000B2200000}"/>
    <cellStyle name="Note 2 2 2 4 2" xfId="3652" xr:uid="{00000000-0005-0000-0000-0000B3200000}"/>
    <cellStyle name="Note 2 2 2 4 2 2" xfId="7875" xr:uid="{00000000-0005-0000-0000-0000B4200000}"/>
    <cellStyle name="Note 2 2 2 4 2 2 2" xfId="16317" xr:uid="{7CD3390D-9656-4FCB-8A3F-A9B5C4C2FC0C}"/>
    <cellStyle name="Note 2 2 2 4 2 3" xfId="12099" xr:uid="{21C44CE9-E7BC-44D4-AEFC-3CC5E86F215E}"/>
    <cellStyle name="Note 2 2 2 4 3" xfId="5730" xr:uid="{00000000-0005-0000-0000-0000B5200000}"/>
    <cellStyle name="Note 2 2 2 4 3 2" xfId="14172" xr:uid="{904C5DD9-72C2-4CBC-B13C-81EC10E482BA}"/>
    <cellStyle name="Note 2 2 2 4 4" xfId="9954" xr:uid="{5C52747F-35A5-42C0-AA38-A8939446F319}"/>
    <cellStyle name="Note 2 2 2 5" xfId="1836" xr:uid="{00000000-0005-0000-0000-0000B6200000}"/>
    <cellStyle name="Note 2 2 2 5 2" xfId="4065" xr:uid="{00000000-0005-0000-0000-0000B7200000}"/>
    <cellStyle name="Note 2 2 2 5 2 2" xfId="8288" xr:uid="{00000000-0005-0000-0000-0000B8200000}"/>
    <cellStyle name="Note 2 2 2 5 2 2 2" xfId="16730" xr:uid="{406537BA-A25F-4C33-978D-BF0B19BDA934}"/>
    <cellStyle name="Note 2 2 2 5 2 3" xfId="12512" xr:uid="{11E4C083-267A-4CEC-92FE-9600067BB572}"/>
    <cellStyle name="Note 2 2 2 5 3" xfId="6143" xr:uid="{00000000-0005-0000-0000-0000B9200000}"/>
    <cellStyle name="Note 2 2 2 5 3 2" xfId="14585" xr:uid="{F0288FF7-554D-454A-A961-B62CBEEBC170}"/>
    <cellStyle name="Note 2 2 2 5 4" xfId="10367" xr:uid="{DFC0DA80-4FE9-4CB0-9DB6-EF0F28CBD418}"/>
    <cellStyle name="Note 2 2 2 6" xfId="2249" xr:uid="{00000000-0005-0000-0000-0000BA200000}"/>
    <cellStyle name="Note 2 2 2 6 2" xfId="4478" xr:uid="{00000000-0005-0000-0000-0000BB200000}"/>
    <cellStyle name="Note 2 2 2 6 2 2" xfId="8701" xr:uid="{00000000-0005-0000-0000-0000BC200000}"/>
    <cellStyle name="Note 2 2 2 6 2 2 2" xfId="17143" xr:uid="{E607210E-9D9F-407E-BDF9-7993B59BF779}"/>
    <cellStyle name="Note 2 2 2 6 2 3" xfId="12925" xr:uid="{2193AB0C-8BDC-43C1-A840-2194C448FB2C}"/>
    <cellStyle name="Note 2 2 2 6 3" xfId="6556" xr:uid="{00000000-0005-0000-0000-0000BD200000}"/>
    <cellStyle name="Note 2 2 2 6 3 2" xfId="14998" xr:uid="{93233C0F-7B1A-4FF9-AE7E-128AC63F95A6}"/>
    <cellStyle name="Note 2 2 2 6 4" xfId="10780" xr:uid="{ED20E5DB-4B25-4B47-BD49-C5EADE6561B4}"/>
    <cellStyle name="Note 2 2 2 7" xfId="2685" xr:uid="{00000000-0005-0000-0000-0000BE200000}"/>
    <cellStyle name="Note 2 2 2 7 2" xfId="6969" xr:uid="{00000000-0005-0000-0000-0000BF200000}"/>
    <cellStyle name="Note 2 2 2 7 2 2" xfId="15411" xr:uid="{1F36FBAC-0C43-415B-91ED-92E2CB708C94}"/>
    <cellStyle name="Note 2 2 2 7 3" xfId="11193" xr:uid="{F385F7A6-FADA-4A72-AC44-348EED82A8B6}"/>
    <cellStyle name="Note 2 2 2 8" xfId="2744" xr:uid="{00000000-0005-0000-0000-0000C0200000}"/>
    <cellStyle name="Note 2 2 2 9" xfId="2825" xr:uid="{00000000-0005-0000-0000-0000C1200000}"/>
    <cellStyle name="Note 2 2 2 9 2" xfId="7049" xr:uid="{00000000-0005-0000-0000-0000C2200000}"/>
    <cellStyle name="Note 2 2 2 9 2 2" xfId="15491" xr:uid="{0D1E3C8C-673A-4A73-91F9-4E6CB668D2C9}"/>
    <cellStyle name="Note 2 2 2 9 3" xfId="11273" xr:uid="{A1E2E9E9-A6E0-4722-A0B0-E73EB232DFBC}"/>
    <cellStyle name="Note 2 2 3" xfId="548" xr:uid="{00000000-0005-0000-0000-0000C3200000}"/>
    <cellStyle name="Note 2 2 3 10" xfId="9130" xr:uid="{209FA122-4872-465E-998B-D6436C53285C}"/>
    <cellStyle name="Note 2 2 3 2" xfId="1009" xr:uid="{00000000-0005-0000-0000-0000C4200000}"/>
    <cellStyle name="Note 2 2 3 2 2" xfId="3241" xr:uid="{00000000-0005-0000-0000-0000C5200000}"/>
    <cellStyle name="Note 2 2 3 2 2 2" xfId="7464" xr:uid="{00000000-0005-0000-0000-0000C6200000}"/>
    <cellStyle name="Note 2 2 3 2 2 2 2" xfId="15906" xr:uid="{BCD85D35-ACDF-436C-A2A4-AF3CEE954D06}"/>
    <cellStyle name="Note 2 2 3 2 2 3" xfId="11688" xr:uid="{9F85CBD4-4CEC-48E6-B519-973F09ECE480}"/>
    <cellStyle name="Note 2 2 3 2 3" xfId="5319" xr:uid="{00000000-0005-0000-0000-0000C7200000}"/>
    <cellStyle name="Note 2 2 3 2 3 2" xfId="13761" xr:uid="{0A97D438-AB15-4F41-8F43-F2C6555FF572}"/>
    <cellStyle name="Note 2 2 3 2 4" xfId="9543" xr:uid="{1A81E839-99E0-4C9C-B2FB-F1A76AE3E2CE}"/>
    <cellStyle name="Note 2 2 3 3" xfId="1424" xr:uid="{00000000-0005-0000-0000-0000C8200000}"/>
    <cellStyle name="Note 2 2 3 3 2" xfId="3654" xr:uid="{00000000-0005-0000-0000-0000C9200000}"/>
    <cellStyle name="Note 2 2 3 3 2 2" xfId="7877" xr:uid="{00000000-0005-0000-0000-0000CA200000}"/>
    <cellStyle name="Note 2 2 3 3 2 2 2" xfId="16319" xr:uid="{77C7EEC2-4B9C-47CB-9C67-9E9EC40AE755}"/>
    <cellStyle name="Note 2 2 3 3 2 3" xfId="12101" xr:uid="{42D2537C-DC28-4D70-ADDD-C4211F2F6180}"/>
    <cellStyle name="Note 2 2 3 3 3" xfId="5732" xr:uid="{00000000-0005-0000-0000-0000CB200000}"/>
    <cellStyle name="Note 2 2 3 3 3 2" xfId="14174" xr:uid="{E9FA1B67-A32E-473F-BC96-577294E3D16E}"/>
    <cellStyle name="Note 2 2 3 3 4" xfId="9956" xr:uid="{A7E906F4-56A9-4A9A-9A9F-FFD564A7ED21}"/>
    <cellStyle name="Note 2 2 3 4" xfId="1838" xr:uid="{00000000-0005-0000-0000-0000CC200000}"/>
    <cellStyle name="Note 2 2 3 4 2" xfId="4067" xr:uid="{00000000-0005-0000-0000-0000CD200000}"/>
    <cellStyle name="Note 2 2 3 4 2 2" xfId="8290" xr:uid="{00000000-0005-0000-0000-0000CE200000}"/>
    <cellStyle name="Note 2 2 3 4 2 2 2" xfId="16732" xr:uid="{1D0EDE76-F32E-4D10-9C52-F7D885B201C6}"/>
    <cellStyle name="Note 2 2 3 4 2 3" xfId="12514" xr:uid="{C84849E4-E0FF-4D31-B1BF-5370D82D4B96}"/>
    <cellStyle name="Note 2 2 3 4 3" xfId="6145" xr:uid="{00000000-0005-0000-0000-0000CF200000}"/>
    <cellStyle name="Note 2 2 3 4 3 2" xfId="14587" xr:uid="{1DCA62B2-3D0A-465E-8C72-BD038380268B}"/>
    <cellStyle name="Note 2 2 3 4 4" xfId="10369" xr:uid="{9443A572-C0B4-4288-897C-39D211BB2FCE}"/>
    <cellStyle name="Note 2 2 3 5" xfId="2251" xr:uid="{00000000-0005-0000-0000-0000D0200000}"/>
    <cellStyle name="Note 2 2 3 5 2" xfId="4480" xr:uid="{00000000-0005-0000-0000-0000D1200000}"/>
    <cellStyle name="Note 2 2 3 5 2 2" xfId="8703" xr:uid="{00000000-0005-0000-0000-0000D2200000}"/>
    <cellStyle name="Note 2 2 3 5 2 2 2" xfId="17145" xr:uid="{D218D564-C729-4F45-8FCA-3DE73D142AE0}"/>
    <cellStyle name="Note 2 2 3 5 2 3" xfId="12927" xr:uid="{7A3452D1-0E1C-490A-B632-680A90FAFB38}"/>
    <cellStyle name="Note 2 2 3 5 3" xfId="6558" xr:uid="{00000000-0005-0000-0000-0000D3200000}"/>
    <cellStyle name="Note 2 2 3 5 3 2" xfId="15000" xr:uid="{CC107D6F-3CAD-4E13-B60C-5FE9C75DB63D}"/>
    <cellStyle name="Note 2 2 3 5 4" xfId="10782" xr:uid="{0ECC767B-57E9-4893-A8F9-F2BEBBF71809}"/>
    <cellStyle name="Note 2 2 3 6" xfId="2687" xr:uid="{00000000-0005-0000-0000-0000D4200000}"/>
    <cellStyle name="Note 2 2 3 6 2" xfId="6971" xr:uid="{00000000-0005-0000-0000-0000D5200000}"/>
    <cellStyle name="Note 2 2 3 6 2 2" xfId="15413" xr:uid="{882081C9-F2F4-4443-B5EC-7C733765DB78}"/>
    <cellStyle name="Note 2 2 3 6 3" xfId="11195" xr:uid="{C270E2BC-A4EF-4A06-9D2D-15185063464E}"/>
    <cellStyle name="Note 2 2 3 7" xfId="2746" xr:uid="{00000000-0005-0000-0000-0000D6200000}"/>
    <cellStyle name="Note 2 2 3 8" xfId="2827" xr:uid="{00000000-0005-0000-0000-0000D7200000}"/>
    <cellStyle name="Note 2 2 3 8 2" xfId="7051" xr:uid="{00000000-0005-0000-0000-0000D8200000}"/>
    <cellStyle name="Note 2 2 3 8 2 2" xfId="15493" xr:uid="{4E4AE3D0-F4EC-4686-AE5D-08F3102E3638}"/>
    <cellStyle name="Note 2 2 3 8 3" xfId="11275" xr:uid="{364E265E-A733-40BD-B3FB-D4EAD0095CD4}"/>
    <cellStyle name="Note 2 2 3 9" xfId="4906" xr:uid="{00000000-0005-0000-0000-0000D9200000}"/>
    <cellStyle name="Note 2 2 3 9 2" xfId="13348" xr:uid="{B42068D1-6E22-4958-800A-5048AEA90157}"/>
    <cellStyle name="Note 2 2 4" xfId="1006" xr:uid="{00000000-0005-0000-0000-0000DA200000}"/>
    <cellStyle name="Note 2 2 4 2" xfId="3238" xr:uid="{00000000-0005-0000-0000-0000DB200000}"/>
    <cellStyle name="Note 2 2 4 2 2" xfId="7461" xr:uid="{00000000-0005-0000-0000-0000DC200000}"/>
    <cellStyle name="Note 2 2 4 2 2 2" xfId="15903" xr:uid="{75BB29BC-B182-4D77-9CAF-BD5B640BCAAC}"/>
    <cellStyle name="Note 2 2 4 2 3" xfId="11685" xr:uid="{8404CE76-2F96-415E-BED9-A1DF50A6E6B7}"/>
    <cellStyle name="Note 2 2 4 3" xfId="5316" xr:uid="{00000000-0005-0000-0000-0000DD200000}"/>
    <cellStyle name="Note 2 2 4 3 2" xfId="13758" xr:uid="{89F4FEA3-6991-439D-8C72-BFB09C8B5E21}"/>
    <cellStyle name="Note 2 2 4 4" xfId="9540" xr:uid="{CC55A609-ACFB-41CD-89C1-E3C484B9D534}"/>
    <cellStyle name="Note 2 2 5" xfId="1421" xr:uid="{00000000-0005-0000-0000-0000DE200000}"/>
    <cellStyle name="Note 2 2 5 2" xfId="3651" xr:uid="{00000000-0005-0000-0000-0000DF200000}"/>
    <cellStyle name="Note 2 2 5 2 2" xfId="7874" xr:uid="{00000000-0005-0000-0000-0000E0200000}"/>
    <cellStyle name="Note 2 2 5 2 2 2" xfId="16316" xr:uid="{F5AB5C7F-6023-4D02-BAD8-A2FEF7DD1F53}"/>
    <cellStyle name="Note 2 2 5 2 3" xfId="12098" xr:uid="{88E80D4C-B52E-4813-B1F9-9D0254B7877D}"/>
    <cellStyle name="Note 2 2 5 3" xfId="5729" xr:uid="{00000000-0005-0000-0000-0000E1200000}"/>
    <cellStyle name="Note 2 2 5 3 2" xfId="14171" xr:uid="{1E8D6ACB-6D29-4A6C-ABDD-8DA73C43A9FF}"/>
    <cellStyle name="Note 2 2 5 4" xfId="9953" xr:uid="{EF0583A3-5BFE-442B-B210-6E4D3927EA6A}"/>
    <cellStyle name="Note 2 2 6" xfId="1835" xr:uid="{00000000-0005-0000-0000-0000E2200000}"/>
    <cellStyle name="Note 2 2 6 2" xfId="4064" xr:uid="{00000000-0005-0000-0000-0000E3200000}"/>
    <cellStyle name="Note 2 2 6 2 2" xfId="8287" xr:uid="{00000000-0005-0000-0000-0000E4200000}"/>
    <cellStyle name="Note 2 2 6 2 2 2" xfId="16729" xr:uid="{C226D3E1-08B7-46D5-AE9D-F6F821D4C2C7}"/>
    <cellStyle name="Note 2 2 6 2 3" xfId="12511" xr:uid="{C38B1A0E-55FC-490C-A129-399E8046ABC1}"/>
    <cellStyle name="Note 2 2 6 3" xfId="6142" xr:uid="{00000000-0005-0000-0000-0000E5200000}"/>
    <cellStyle name="Note 2 2 6 3 2" xfId="14584" xr:uid="{D5F847E6-C24F-45A1-B3E3-BC9F0F16EFCD}"/>
    <cellStyle name="Note 2 2 6 4" xfId="10366" xr:uid="{0286E45A-98B4-4F34-AF7B-3E1A5294C69B}"/>
    <cellStyle name="Note 2 2 7" xfId="2248" xr:uid="{00000000-0005-0000-0000-0000E6200000}"/>
    <cellStyle name="Note 2 2 7 2" xfId="4477" xr:uid="{00000000-0005-0000-0000-0000E7200000}"/>
    <cellStyle name="Note 2 2 7 2 2" xfId="8700" xr:uid="{00000000-0005-0000-0000-0000E8200000}"/>
    <cellStyle name="Note 2 2 7 2 2 2" xfId="17142" xr:uid="{7835A499-D2E3-4DBD-9417-7E1D355FF3E4}"/>
    <cellStyle name="Note 2 2 7 2 3" xfId="12924" xr:uid="{315F5618-6AE3-4D30-8C34-B121FA514FE8}"/>
    <cellStyle name="Note 2 2 7 3" xfId="6555" xr:uid="{00000000-0005-0000-0000-0000E9200000}"/>
    <cellStyle name="Note 2 2 7 3 2" xfId="14997" xr:uid="{6E43BDDD-5A50-4D74-BDA4-C0B7524DBC94}"/>
    <cellStyle name="Note 2 2 7 4" xfId="10779" xr:uid="{31D92D8C-3FE1-4315-83D0-AC62B861C4C1}"/>
    <cellStyle name="Note 2 2 8" xfId="2684" xr:uid="{00000000-0005-0000-0000-0000EA200000}"/>
    <cellStyle name="Note 2 2 8 2" xfId="6968" xr:uid="{00000000-0005-0000-0000-0000EB200000}"/>
    <cellStyle name="Note 2 2 8 2 2" xfId="15410" xr:uid="{DFF981B3-7342-49EE-8D2E-990110911612}"/>
    <cellStyle name="Note 2 2 8 3" xfId="11192" xr:uid="{2079EA84-9D7F-4CBE-8107-D48DA8A22AC4}"/>
    <cellStyle name="Note 2 2 9" xfId="2743" xr:uid="{00000000-0005-0000-0000-0000EC200000}"/>
    <cellStyle name="Note 2 3" xfId="549" xr:uid="{00000000-0005-0000-0000-0000ED200000}"/>
    <cellStyle name="Note 2 3 10" xfId="4907" xr:uid="{00000000-0005-0000-0000-0000EE200000}"/>
    <cellStyle name="Note 2 3 10 2" xfId="13349" xr:uid="{EC0F006E-7ABF-4986-A77C-90804C74D196}"/>
    <cellStyle name="Note 2 3 11" xfId="9131" xr:uid="{93FB7D3E-6260-4452-9FAF-617AD75673CB}"/>
    <cellStyle name="Note 2 3 2" xfId="550" xr:uid="{00000000-0005-0000-0000-0000EF200000}"/>
    <cellStyle name="Note 2 3 2 10" xfId="9132" xr:uid="{FA50E45E-9171-4F6B-A834-552E09AB4E2B}"/>
    <cellStyle name="Note 2 3 2 2" xfId="1011" xr:uid="{00000000-0005-0000-0000-0000F0200000}"/>
    <cellStyle name="Note 2 3 2 2 2" xfId="3243" xr:uid="{00000000-0005-0000-0000-0000F1200000}"/>
    <cellStyle name="Note 2 3 2 2 2 2" xfId="7466" xr:uid="{00000000-0005-0000-0000-0000F2200000}"/>
    <cellStyle name="Note 2 3 2 2 2 2 2" xfId="15908" xr:uid="{365D893F-B520-446E-9E14-5B75EEFB93A2}"/>
    <cellStyle name="Note 2 3 2 2 2 3" xfId="11690" xr:uid="{63DAE402-7AF0-45D6-A9D0-384C07BAB4E8}"/>
    <cellStyle name="Note 2 3 2 2 3" xfId="5321" xr:uid="{00000000-0005-0000-0000-0000F3200000}"/>
    <cellStyle name="Note 2 3 2 2 3 2" xfId="13763" xr:uid="{43DDF1FF-09E8-49BC-88AC-200161566784}"/>
    <cellStyle name="Note 2 3 2 2 4" xfId="9545" xr:uid="{2D28E41D-0595-41B7-B30A-8F053F8B76D0}"/>
    <cellStyle name="Note 2 3 2 3" xfId="1426" xr:uid="{00000000-0005-0000-0000-0000F4200000}"/>
    <cellStyle name="Note 2 3 2 3 2" xfId="3656" xr:uid="{00000000-0005-0000-0000-0000F5200000}"/>
    <cellStyle name="Note 2 3 2 3 2 2" xfId="7879" xr:uid="{00000000-0005-0000-0000-0000F6200000}"/>
    <cellStyle name="Note 2 3 2 3 2 2 2" xfId="16321" xr:uid="{BEBEBA58-BA70-4212-A300-53DB3934EADF}"/>
    <cellStyle name="Note 2 3 2 3 2 3" xfId="12103" xr:uid="{9D32928B-E3C9-411D-993A-913F9862BD69}"/>
    <cellStyle name="Note 2 3 2 3 3" xfId="5734" xr:uid="{00000000-0005-0000-0000-0000F7200000}"/>
    <cellStyle name="Note 2 3 2 3 3 2" xfId="14176" xr:uid="{71FFDCFB-2010-4B45-81E7-64619DBF961E}"/>
    <cellStyle name="Note 2 3 2 3 4" xfId="9958" xr:uid="{461D3E0D-30C4-45D6-8966-4A6B708ABF17}"/>
    <cellStyle name="Note 2 3 2 4" xfId="1840" xr:uid="{00000000-0005-0000-0000-0000F8200000}"/>
    <cellStyle name="Note 2 3 2 4 2" xfId="4069" xr:uid="{00000000-0005-0000-0000-0000F9200000}"/>
    <cellStyle name="Note 2 3 2 4 2 2" xfId="8292" xr:uid="{00000000-0005-0000-0000-0000FA200000}"/>
    <cellStyle name="Note 2 3 2 4 2 2 2" xfId="16734" xr:uid="{344F0E41-07EA-440A-8407-85DD1BE9E726}"/>
    <cellStyle name="Note 2 3 2 4 2 3" xfId="12516" xr:uid="{55721882-A805-4893-9106-55F6EACF09B8}"/>
    <cellStyle name="Note 2 3 2 4 3" xfId="6147" xr:uid="{00000000-0005-0000-0000-0000FB200000}"/>
    <cellStyle name="Note 2 3 2 4 3 2" xfId="14589" xr:uid="{171FBBD6-32ED-4452-AA7D-B8AF97388312}"/>
    <cellStyle name="Note 2 3 2 4 4" xfId="10371" xr:uid="{9EC48163-EEE0-4547-BB81-9B595E42419F}"/>
    <cellStyle name="Note 2 3 2 5" xfId="2253" xr:uid="{00000000-0005-0000-0000-0000FC200000}"/>
    <cellStyle name="Note 2 3 2 5 2" xfId="4482" xr:uid="{00000000-0005-0000-0000-0000FD200000}"/>
    <cellStyle name="Note 2 3 2 5 2 2" xfId="8705" xr:uid="{00000000-0005-0000-0000-0000FE200000}"/>
    <cellStyle name="Note 2 3 2 5 2 2 2" xfId="17147" xr:uid="{B0CE0703-C258-437C-B059-BF100F8EFCF9}"/>
    <cellStyle name="Note 2 3 2 5 2 3" xfId="12929" xr:uid="{338E445E-8913-4598-8514-3CA4AFF4B72E}"/>
    <cellStyle name="Note 2 3 2 5 3" xfId="6560" xr:uid="{00000000-0005-0000-0000-0000FF200000}"/>
    <cellStyle name="Note 2 3 2 5 3 2" xfId="15002" xr:uid="{10499A40-1A82-4B3E-A705-893AB27F7BA7}"/>
    <cellStyle name="Note 2 3 2 5 4" xfId="10784" xr:uid="{2B07694F-098C-4436-9EC1-FDA999A677F4}"/>
    <cellStyle name="Note 2 3 2 6" xfId="2689" xr:uid="{00000000-0005-0000-0000-000000210000}"/>
    <cellStyle name="Note 2 3 2 6 2" xfId="6973" xr:uid="{00000000-0005-0000-0000-000001210000}"/>
    <cellStyle name="Note 2 3 2 6 2 2" xfId="15415" xr:uid="{CFE4AB0E-96B2-4764-AEC4-9EDFF5A8FC65}"/>
    <cellStyle name="Note 2 3 2 6 3" xfId="11197" xr:uid="{8E9A6EBC-725D-453F-A351-0EA097C43D1E}"/>
    <cellStyle name="Note 2 3 2 7" xfId="2748" xr:uid="{00000000-0005-0000-0000-000002210000}"/>
    <cellStyle name="Note 2 3 2 8" xfId="2829" xr:uid="{00000000-0005-0000-0000-000003210000}"/>
    <cellStyle name="Note 2 3 2 8 2" xfId="7053" xr:uid="{00000000-0005-0000-0000-000004210000}"/>
    <cellStyle name="Note 2 3 2 8 2 2" xfId="15495" xr:uid="{000BEE53-60B7-4079-9444-CCA427C101A1}"/>
    <cellStyle name="Note 2 3 2 8 3" xfId="11277" xr:uid="{E04DB54E-B57B-4667-8A76-A28CB7485DDC}"/>
    <cellStyle name="Note 2 3 2 9" xfId="4908" xr:uid="{00000000-0005-0000-0000-000005210000}"/>
    <cellStyle name="Note 2 3 2 9 2" xfId="13350" xr:uid="{1241218D-2C88-4337-B3FA-3E77254E5D73}"/>
    <cellStyle name="Note 2 3 3" xfId="1010" xr:uid="{00000000-0005-0000-0000-000006210000}"/>
    <cellStyle name="Note 2 3 3 2" xfId="3242" xr:uid="{00000000-0005-0000-0000-000007210000}"/>
    <cellStyle name="Note 2 3 3 2 2" xfId="7465" xr:uid="{00000000-0005-0000-0000-000008210000}"/>
    <cellStyle name="Note 2 3 3 2 2 2" xfId="15907" xr:uid="{D0982BF0-C7E0-4D53-AE2D-A7DB839A6BC0}"/>
    <cellStyle name="Note 2 3 3 2 3" xfId="11689" xr:uid="{FA6A24E6-F462-456A-81F4-3766F38F82F0}"/>
    <cellStyle name="Note 2 3 3 3" xfId="5320" xr:uid="{00000000-0005-0000-0000-000009210000}"/>
    <cellStyle name="Note 2 3 3 3 2" xfId="13762" xr:uid="{FAC9A836-94E6-4D2C-8DFA-D00C82B15529}"/>
    <cellStyle name="Note 2 3 3 4" xfId="9544" xr:uid="{951E38D3-BD47-4866-A426-B571E6A247C3}"/>
    <cellStyle name="Note 2 3 4" xfId="1425" xr:uid="{00000000-0005-0000-0000-00000A210000}"/>
    <cellStyle name="Note 2 3 4 2" xfId="3655" xr:uid="{00000000-0005-0000-0000-00000B210000}"/>
    <cellStyle name="Note 2 3 4 2 2" xfId="7878" xr:uid="{00000000-0005-0000-0000-00000C210000}"/>
    <cellStyle name="Note 2 3 4 2 2 2" xfId="16320" xr:uid="{3648BD6D-91D8-4742-B980-509A37913278}"/>
    <cellStyle name="Note 2 3 4 2 3" xfId="12102" xr:uid="{989935E6-49CE-42D6-8E66-9D3C9B80F045}"/>
    <cellStyle name="Note 2 3 4 3" xfId="5733" xr:uid="{00000000-0005-0000-0000-00000D210000}"/>
    <cellStyle name="Note 2 3 4 3 2" xfId="14175" xr:uid="{46F8C7D4-C20E-4273-BCC7-98116314B8FE}"/>
    <cellStyle name="Note 2 3 4 4" xfId="9957" xr:uid="{C362ACFF-8983-493D-8E24-94BB68F289FC}"/>
    <cellStyle name="Note 2 3 5" xfId="1839" xr:uid="{00000000-0005-0000-0000-00000E210000}"/>
    <cellStyle name="Note 2 3 5 2" xfId="4068" xr:uid="{00000000-0005-0000-0000-00000F210000}"/>
    <cellStyle name="Note 2 3 5 2 2" xfId="8291" xr:uid="{00000000-0005-0000-0000-000010210000}"/>
    <cellStyle name="Note 2 3 5 2 2 2" xfId="16733" xr:uid="{3B8D4575-9C80-4A5B-96E0-BD747431C0C3}"/>
    <cellStyle name="Note 2 3 5 2 3" xfId="12515" xr:uid="{4151C9D8-4042-4B9B-B1E2-4D935B07C565}"/>
    <cellStyle name="Note 2 3 5 3" xfId="6146" xr:uid="{00000000-0005-0000-0000-000011210000}"/>
    <cellStyle name="Note 2 3 5 3 2" xfId="14588" xr:uid="{7D31F9D2-3FF3-4CC5-95B6-0D03D7180F9C}"/>
    <cellStyle name="Note 2 3 5 4" xfId="10370" xr:uid="{6DC60674-2BB5-47AD-9788-5D043DE298D2}"/>
    <cellStyle name="Note 2 3 6" xfId="2252" xr:uid="{00000000-0005-0000-0000-000012210000}"/>
    <cellStyle name="Note 2 3 6 2" xfId="4481" xr:uid="{00000000-0005-0000-0000-000013210000}"/>
    <cellStyle name="Note 2 3 6 2 2" xfId="8704" xr:uid="{00000000-0005-0000-0000-000014210000}"/>
    <cellStyle name="Note 2 3 6 2 2 2" xfId="17146" xr:uid="{E91C01D6-1ED2-47B2-A5A9-6ACA2F63CF56}"/>
    <cellStyle name="Note 2 3 6 2 3" xfId="12928" xr:uid="{14298768-D484-462A-95AA-D08F6E62CCC9}"/>
    <cellStyle name="Note 2 3 6 3" xfId="6559" xr:uid="{00000000-0005-0000-0000-000015210000}"/>
    <cellStyle name="Note 2 3 6 3 2" xfId="15001" xr:uid="{E73E6B3F-60CC-46E2-83E8-7284E148D0D0}"/>
    <cellStyle name="Note 2 3 6 4" xfId="10783" xr:uid="{4D9AFE19-DB07-439D-955C-E9E643C31A9D}"/>
    <cellStyle name="Note 2 3 7" xfId="2688" xr:uid="{00000000-0005-0000-0000-000016210000}"/>
    <cellStyle name="Note 2 3 7 2" xfId="6972" xr:uid="{00000000-0005-0000-0000-000017210000}"/>
    <cellStyle name="Note 2 3 7 2 2" xfId="15414" xr:uid="{B3617417-06D9-41DB-8013-FD6AE14FBC78}"/>
    <cellStyle name="Note 2 3 7 3" xfId="11196" xr:uid="{7DF03CA9-6F23-4DB3-AD28-9D57BF1AD8C8}"/>
    <cellStyle name="Note 2 3 8" xfId="2747" xr:uid="{00000000-0005-0000-0000-000018210000}"/>
    <cellStyle name="Note 2 3 9" xfId="2828" xr:uid="{00000000-0005-0000-0000-000019210000}"/>
    <cellStyle name="Note 2 3 9 2" xfId="7052" xr:uid="{00000000-0005-0000-0000-00001A210000}"/>
    <cellStyle name="Note 2 3 9 2 2" xfId="15494" xr:uid="{20DE1F9B-B653-4C44-A0B8-4E2BA4401801}"/>
    <cellStyle name="Note 2 3 9 3" xfId="11276" xr:uid="{5B145A9C-EAF0-41A2-A66C-43898264D95E}"/>
    <cellStyle name="Note 2 4" xfId="551" xr:uid="{00000000-0005-0000-0000-00001B210000}"/>
    <cellStyle name="Note 2 4 10" xfId="9133" xr:uid="{2CDE5711-DF47-4F63-9B5E-E227B8F51A37}"/>
    <cellStyle name="Note 2 4 2" xfId="1012" xr:uid="{00000000-0005-0000-0000-00001C210000}"/>
    <cellStyle name="Note 2 4 2 2" xfId="3244" xr:uid="{00000000-0005-0000-0000-00001D210000}"/>
    <cellStyle name="Note 2 4 2 2 2" xfId="7467" xr:uid="{00000000-0005-0000-0000-00001E210000}"/>
    <cellStyle name="Note 2 4 2 2 2 2" xfId="15909" xr:uid="{6D003323-A659-430B-B1B6-4A32B53F999C}"/>
    <cellStyle name="Note 2 4 2 2 3" xfId="11691" xr:uid="{EE89719B-23B1-4177-A7AA-55E3841AE1A5}"/>
    <cellStyle name="Note 2 4 2 3" xfId="5322" xr:uid="{00000000-0005-0000-0000-00001F210000}"/>
    <cellStyle name="Note 2 4 2 3 2" xfId="13764" xr:uid="{A1E23DF1-A906-4A4D-810F-6C8E2AE59A4C}"/>
    <cellStyle name="Note 2 4 2 4" xfId="9546" xr:uid="{B161427F-FAFA-424E-9514-FE17832E12CE}"/>
    <cellStyle name="Note 2 4 3" xfId="1427" xr:uid="{00000000-0005-0000-0000-000020210000}"/>
    <cellStyle name="Note 2 4 3 2" xfId="3657" xr:uid="{00000000-0005-0000-0000-000021210000}"/>
    <cellStyle name="Note 2 4 3 2 2" xfId="7880" xr:uid="{00000000-0005-0000-0000-000022210000}"/>
    <cellStyle name="Note 2 4 3 2 2 2" xfId="16322" xr:uid="{43EF1853-BCB6-496C-829D-69FF12019516}"/>
    <cellStyle name="Note 2 4 3 2 3" xfId="12104" xr:uid="{05D6CB83-DFE6-4ED8-B385-6B1FFB2D9A93}"/>
    <cellStyle name="Note 2 4 3 3" xfId="5735" xr:uid="{00000000-0005-0000-0000-000023210000}"/>
    <cellStyle name="Note 2 4 3 3 2" xfId="14177" xr:uid="{AD34037D-80E1-4BEC-8F3F-08078102849C}"/>
    <cellStyle name="Note 2 4 3 4" xfId="9959" xr:uid="{9148CF1D-4B13-4B78-A9A5-7F0F1065F91C}"/>
    <cellStyle name="Note 2 4 4" xfId="1841" xr:uid="{00000000-0005-0000-0000-000024210000}"/>
    <cellStyle name="Note 2 4 4 2" xfId="4070" xr:uid="{00000000-0005-0000-0000-000025210000}"/>
    <cellStyle name="Note 2 4 4 2 2" xfId="8293" xr:uid="{00000000-0005-0000-0000-000026210000}"/>
    <cellStyle name="Note 2 4 4 2 2 2" xfId="16735" xr:uid="{59DADC6B-A157-4F9E-BB03-2E652BCEE27A}"/>
    <cellStyle name="Note 2 4 4 2 3" xfId="12517" xr:uid="{AEEA1F81-1A3C-4D0A-9FEA-E5BEC8F2C5FF}"/>
    <cellStyle name="Note 2 4 4 3" xfId="6148" xr:uid="{00000000-0005-0000-0000-000027210000}"/>
    <cellStyle name="Note 2 4 4 3 2" xfId="14590" xr:uid="{AEF7E286-784C-4211-9DD8-A144357CE43E}"/>
    <cellStyle name="Note 2 4 4 4" xfId="10372" xr:uid="{534871AA-16A1-42A1-B1A2-AB1A2FA4B800}"/>
    <cellStyle name="Note 2 4 5" xfId="2254" xr:uid="{00000000-0005-0000-0000-000028210000}"/>
    <cellStyle name="Note 2 4 5 2" xfId="4483" xr:uid="{00000000-0005-0000-0000-000029210000}"/>
    <cellStyle name="Note 2 4 5 2 2" xfId="8706" xr:uid="{00000000-0005-0000-0000-00002A210000}"/>
    <cellStyle name="Note 2 4 5 2 2 2" xfId="17148" xr:uid="{68DBF61E-7CA8-4ED8-B960-C4FF05DBC56F}"/>
    <cellStyle name="Note 2 4 5 2 3" xfId="12930" xr:uid="{C113FF3E-CBF3-4F6C-B1AC-0BADB43993B0}"/>
    <cellStyle name="Note 2 4 5 3" xfId="6561" xr:uid="{00000000-0005-0000-0000-00002B210000}"/>
    <cellStyle name="Note 2 4 5 3 2" xfId="15003" xr:uid="{8BB01512-CCD6-4E7C-9B19-5F4EE8433288}"/>
    <cellStyle name="Note 2 4 5 4" xfId="10785" xr:uid="{E6D3730D-28E7-4D8A-85DA-D34DA74D0923}"/>
    <cellStyle name="Note 2 4 6" xfId="2690" xr:uid="{00000000-0005-0000-0000-00002C210000}"/>
    <cellStyle name="Note 2 4 6 2" xfId="6974" xr:uid="{00000000-0005-0000-0000-00002D210000}"/>
    <cellStyle name="Note 2 4 6 2 2" xfId="15416" xr:uid="{183476B8-1EF6-41A4-9EB1-44FF9B045985}"/>
    <cellStyle name="Note 2 4 6 3" xfId="11198" xr:uid="{F4EF746C-82CE-459E-9BAC-9A02ACA25917}"/>
    <cellStyle name="Note 2 4 7" xfId="2749" xr:uid="{00000000-0005-0000-0000-00002E210000}"/>
    <cellStyle name="Note 2 4 8" xfId="2830" xr:uid="{00000000-0005-0000-0000-00002F210000}"/>
    <cellStyle name="Note 2 4 8 2" xfId="7054" xr:uid="{00000000-0005-0000-0000-000030210000}"/>
    <cellStyle name="Note 2 4 8 2 2" xfId="15496" xr:uid="{3173D6F5-9D5C-4C8E-82EE-37648022E4C4}"/>
    <cellStyle name="Note 2 4 8 3" xfId="11278" xr:uid="{CFD8BBCA-BCD5-4B6A-AFCD-DBAC7031D4DE}"/>
    <cellStyle name="Note 2 4 9" xfId="4909" xr:uid="{00000000-0005-0000-0000-000031210000}"/>
    <cellStyle name="Note 2 4 9 2" xfId="13351" xr:uid="{82D73F30-FBD0-4C4C-B94B-37BFA8B004CB}"/>
    <cellStyle name="Note 2 5" xfId="552" xr:uid="{00000000-0005-0000-0000-000032210000}"/>
    <cellStyle name="Note 2 5 10" xfId="9134" xr:uid="{4FA2B6B1-5654-4852-BD4D-92B188C9F3CB}"/>
    <cellStyle name="Note 2 5 2" xfId="1013" xr:uid="{00000000-0005-0000-0000-000033210000}"/>
    <cellStyle name="Note 2 5 2 2" xfId="3245" xr:uid="{00000000-0005-0000-0000-000034210000}"/>
    <cellStyle name="Note 2 5 2 2 2" xfId="7468" xr:uid="{00000000-0005-0000-0000-000035210000}"/>
    <cellStyle name="Note 2 5 2 2 2 2" xfId="15910" xr:uid="{DD58589F-B1C0-4CCF-8C7E-8574A5D18210}"/>
    <cellStyle name="Note 2 5 2 2 3" xfId="11692" xr:uid="{FCC3C450-57E0-486F-8A82-3874C4A12810}"/>
    <cellStyle name="Note 2 5 2 3" xfId="5323" xr:uid="{00000000-0005-0000-0000-000036210000}"/>
    <cellStyle name="Note 2 5 2 3 2" xfId="13765" xr:uid="{48384F6D-2F42-4E4B-A4E0-6053900F3E13}"/>
    <cellStyle name="Note 2 5 2 4" xfId="9547" xr:uid="{1F3A5FD8-502F-466A-A961-6791EB086527}"/>
    <cellStyle name="Note 2 5 3" xfId="1428" xr:uid="{00000000-0005-0000-0000-000037210000}"/>
    <cellStyle name="Note 2 5 3 2" xfId="3658" xr:uid="{00000000-0005-0000-0000-000038210000}"/>
    <cellStyle name="Note 2 5 3 2 2" xfId="7881" xr:uid="{00000000-0005-0000-0000-000039210000}"/>
    <cellStyle name="Note 2 5 3 2 2 2" xfId="16323" xr:uid="{E7F894DA-E951-46C4-B22E-8B2D34EE885C}"/>
    <cellStyle name="Note 2 5 3 2 3" xfId="12105" xr:uid="{D727EE45-4880-454F-8EFD-360F004C7E0D}"/>
    <cellStyle name="Note 2 5 3 3" xfId="5736" xr:uid="{00000000-0005-0000-0000-00003A210000}"/>
    <cellStyle name="Note 2 5 3 3 2" xfId="14178" xr:uid="{30175626-7F34-4442-A9DA-FFEA6665E2AB}"/>
    <cellStyle name="Note 2 5 3 4" xfId="9960" xr:uid="{64F6A21B-A691-4EBD-919E-B71B6032CE78}"/>
    <cellStyle name="Note 2 5 4" xfId="1842" xr:uid="{00000000-0005-0000-0000-00003B210000}"/>
    <cellStyle name="Note 2 5 4 2" xfId="4071" xr:uid="{00000000-0005-0000-0000-00003C210000}"/>
    <cellStyle name="Note 2 5 4 2 2" xfId="8294" xr:uid="{00000000-0005-0000-0000-00003D210000}"/>
    <cellStyle name="Note 2 5 4 2 2 2" xfId="16736" xr:uid="{956CFF3C-EAF8-4942-A1DC-D769D7ED08EA}"/>
    <cellStyle name="Note 2 5 4 2 3" xfId="12518" xr:uid="{9E09410B-635F-43EA-BD7B-41C696D3B653}"/>
    <cellStyle name="Note 2 5 4 3" xfId="6149" xr:uid="{00000000-0005-0000-0000-00003E210000}"/>
    <cellStyle name="Note 2 5 4 3 2" xfId="14591" xr:uid="{8631929C-AB80-4B2F-88E8-963E5B1459B9}"/>
    <cellStyle name="Note 2 5 4 4" xfId="10373" xr:uid="{8F121862-B734-427F-805F-0DDD3CC0BE29}"/>
    <cellStyle name="Note 2 5 5" xfId="2255" xr:uid="{00000000-0005-0000-0000-00003F210000}"/>
    <cellStyle name="Note 2 5 5 2" xfId="4484" xr:uid="{00000000-0005-0000-0000-000040210000}"/>
    <cellStyle name="Note 2 5 5 2 2" xfId="8707" xr:uid="{00000000-0005-0000-0000-000041210000}"/>
    <cellStyle name="Note 2 5 5 2 2 2" xfId="17149" xr:uid="{6DCD7577-E9D7-424E-95B8-0D896BD3D25A}"/>
    <cellStyle name="Note 2 5 5 2 3" xfId="12931" xr:uid="{B74119DA-049B-451B-B408-1E49B84A979B}"/>
    <cellStyle name="Note 2 5 5 3" xfId="6562" xr:uid="{00000000-0005-0000-0000-000042210000}"/>
    <cellStyle name="Note 2 5 5 3 2" xfId="15004" xr:uid="{FC801297-5178-4283-9E5E-798F32AF9036}"/>
    <cellStyle name="Note 2 5 5 4" xfId="10786" xr:uid="{198F70DA-528C-4D28-B924-4D103F933A17}"/>
    <cellStyle name="Note 2 5 6" xfId="2691" xr:uid="{00000000-0005-0000-0000-000043210000}"/>
    <cellStyle name="Note 2 5 6 2" xfId="6975" xr:uid="{00000000-0005-0000-0000-000044210000}"/>
    <cellStyle name="Note 2 5 6 2 2" xfId="15417" xr:uid="{8A0ABE4D-324E-490E-A3F4-691353549606}"/>
    <cellStyle name="Note 2 5 6 3" xfId="11199" xr:uid="{6BFCBA1F-D945-4875-B6CF-1B3ECC5315C3}"/>
    <cellStyle name="Note 2 5 7" xfId="2750" xr:uid="{00000000-0005-0000-0000-000045210000}"/>
    <cellStyle name="Note 2 5 8" xfId="2831" xr:uid="{00000000-0005-0000-0000-000046210000}"/>
    <cellStyle name="Note 2 5 8 2" xfId="7055" xr:uid="{00000000-0005-0000-0000-000047210000}"/>
    <cellStyle name="Note 2 5 8 2 2" xfId="15497" xr:uid="{74421EA2-0423-48CC-A061-D6227E0A7B63}"/>
    <cellStyle name="Note 2 5 8 3" xfId="11279" xr:uid="{60AB5E2B-9ADE-4FFA-8EB1-F8A4965D2434}"/>
    <cellStyle name="Note 2 5 9" xfId="4910" xr:uid="{00000000-0005-0000-0000-000048210000}"/>
    <cellStyle name="Note 2 5 9 2" xfId="13352" xr:uid="{12A2D768-56EE-4C7E-B829-632F605AE5A7}"/>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32AC195F-CDB2-40E1-9265-ADDAD9EC3F92}"/>
    <cellStyle name="Note 3 2 10 3" xfId="11280" xr:uid="{6CF62F25-CB44-4D58-B279-2F2E51127BA4}"/>
    <cellStyle name="Note 3 2 11" xfId="4911" xr:uid="{00000000-0005-0000-0000-00004D210000}"/>
    <cellStyle name="Note 3 2 11 2" xfId="13353" xr:uid="{1557C23F-19A8-40F3-B982-9513E081FF00}"/>
    <cellStyle name="Note 3 2 12" xfId="9135" xr:uid="{8E73AE37-4126-4A90-BD51-4E7DC6812318}"/>
    <cellStyle name="Note 3 2 2" xfId="555" xr:uid="{00000000-0005-0000-0000-00004E210000}"/>
    <cellStyle name="Note 3 2 2 10" xfId="4912" xr:uid="{00000000-0005-0000-0000-00004F210000}"/>
    <cellStyle name="Note 3 2 2 10 2" xfId="13354" xr:uid="{973603E9-7E8F-4B6C-9EB1-421C20C13BFD}"/>
    <cellStyle name="Note 3 2 2 11" xfId="9136" xr:uid="{17B49461-3CB4-4DD7-B6CF-61151EC943ED}"/>
    <cellStyle name="Note 3 2 2 2" xfId="556" xr:uid="{00000000-0005-0000-0000-000050210000}"/>
    <cellStyle name="Note 3 2 2 2 10" xfId="9137" xr:uid="{0C29FBAB-2DB0-4E7C-B42D-B57B9AB181AB}"/>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57F4092D-CDCD-451E-9CDE-F5ED98D1C9D2}"/>
    <cellStyle name="Note 3 2 2 2 2 2 3" xfId="11695" xr:uid="{BBBBD5EA-B298-4460-888C-D5762B09B507}"/>
    <cellStyle name="Note 3 2 2 2 2 3" xfId="5326" xr:uid="{00000000-0005-0000-0000-000054210000}"/>
    <cellStyle name="Note 3 2 2 2 2 3 2" xfId="13768" xr:uid="{0DBED902-1435-4709-A61B-50FABFEB3A54}"/>
    <cellStyle name="Note 3 2 2 2 2 4" xfId="9550" xr:uid="{7E0FD0FF-B781-4E56-8710-74AA90F6AF16}"/>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AB5270AB-1F7E-4CDD-9F25-A94D323A36D8}"/>
    <cellStyle name="Note 3 2 2 2 3 2 3" xfId="12108" xr:uid="{2EFA29A2-ABC4-4260-8858-3CF780CAC8A6}"/>
    <cellStyle name="Note 3 2 2 2 3 3" xfId="5739" xr:uid="{00000000-0005-0000-0000-000058210000}"/>
    <cellStyle name="Note 3 2 2 2 3 3 2" xfId="14181" xr:uid="{F770BE3F-9B9C-46D2-86BB-895F94C97722}"/>
    <cellStyle name="Note 3 2 2 2 3 4" xfId="9963" xr:uid="{173D74F1-A2A2-4E2D-9C67-8DFAE4D10549}"/>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96782080-6CB3-457D-A855-40554A4E1366}"/>
    <cellStyle name="Note 3 2 2 2 4 2 3" xfId="12521" xr:uid="{CEE7659D-377C-4DC2-9661-2A4995891EA9}"/>
    <cellStyle name="Note 3 2 2 2 4 3" xfId="6152" xr:uid="{00000000-0005-0000-0000-00005C210000}"/>
    <cellStyle name="Note 3 2 2 2 4 3 2" xfId="14594" xr:uid="{8B3A060B-6E77-480E-A20F-A1B2924856A3}"/>
    <cellStyle name="Note 3 2 2 2 4 4" xfId="10376" xr:uid="{A1F5A0EE-6610-42B0-A81A-0EABB456112E}"/>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CA1EB698-5EE7-4AEB-822A-00DDF79B82AB}"/>
    <cellStyle name="Note 3 2 2 2 5 2 3" xfId="12934" xr:uid="{01D66F7C-455C-4385-A2AF-A5194B936EFA}"/>
    <cellStyle name="Note 3 2 2 2 5 3" xfId="6565" xr:uid="{00000000-0005-0000-0000-000060210000}"/>
    <cellStyle name="Note 3 2 2 2 5 3 2" xfId="15007" xr:uid="{6DC8A462-7D38-4F5D-B08F-DA8D3DB4EF52}"/>
    <cellStyle name="Note 3 2 2 2 5 4" xfId="10789" xr:uid="{92860172-EA65-40AD-89AE-DE4BB1BC1F48}"/>
    <cellStyle name="Note 3 2 2 2 6" xfId="2694" xr:uid="{00000000-0005-0000-0000-000061210000}"/>
    <cellStyle name="Note 3 2 2 2 6 2" xfId="6978" xr:uid="{00000000-0005-0000-0000-000062210000}"/>
    <cellStyle name="Note 3 2 2 2 6 2 2" xfId="15420" xr:uid="{B66B039E-CD9A-4676-8AD8-855E4A1C6B9B}"/>
    <cellStyle name="Note 3 2 2 2 6 3" xfId="11202" xr:uid="{5F98E441-6F39-442E-9CF5-6BCC02022BE7}"/>
    <cellStyle name="Note 3 2 2 2 7" xfId="2753" xr:uid="{00000000-0005-0000-0000-000063210000}"/>
    <cellStyle name="Note 3 2 2 2 8" xfId="2834" xr:uid="{00000000-0005-0000-0000-000064210000}"/>
    <cellStyle name="Note 3 2 2 2 8 2" xfId="7058" xr:uid="{00000000-0005-0000-0000-000065210000}"/>
    <cellStyle name="Note 3 2 2 2 8 2 2" xfId="15500" xr:uid="{E04926A4-DA2C-411C-AB0D-0F1FB882F091}"/>
    <cellStyle name="Note 3 2 2 2 8 3" xfId="11282" xr:uid="{9A557B3B-419F-465B-9B2E-D8673D7B2F37}"/>
    <cellStyle name="Note 3 2 2 2 9" xfId="4913" xr:uid="{00000000-0005-0000-0000-000066210000}"/>
    <cellStyle name="Note 3 2 2 2 9 2" xfId="13355" xr:uid="{8B245E7D-050F-4974-990A-56254AC2165A}"/>
    <cellStyle name="Note 3 2 2 3" xfId="1015" xr:uid="{00000000-0005-0000-0000-000067210000}"/>
    <cellStyle name="Note 3 2 2 3 2" xfId="3247" xr:uid="{00000000-0005-0000-0000-000068210000}"/>
    <cellStyle name="Note 3 2 2 3 2 2" xfId="7470" xr:uid="{00000000-0005-0000-0000-000069210000}"/>
    <cellStyle name="Note 3 2 2 3 2 2 2" xfId="15912" xr:uid="{BF7E6015-8287-45AE-BD60-B79ECE7F2E20}"/>
    <cellStyle name="Note 3 2 2 3 2 3" xfId="11694" xr:uid="{44A82674-078D-44E3-871F-2B599B5EA5E4}"/>
    <cellStyle name="Note 3 2 2 3 3" xfId="5325" xr:uid="{00000000-0005-0000-0000-00006A210000}"/>
    <cellStyle name="Note 3 2 2 3 3 2" xfId="13767" xr:uid="{577BC298-AC67-4308-B5E9-03911B8248B4}"/>
    <cellStyle name="Note 3 2 2 3 4" xfId="9549" xr:uid="{0FD889F5-E5B4-4205-B379-4387EA3BC472}"/>
    <cellStyle name="Note 3 2 2 4" xfId="1430" xr:uid="{00000000-0005-0000-0000-00006B210000}"/>
    <cellStyle name="Note 3 2 2 4 2" xfId="3660" xr:uid="{00000000-0005-0000-0000-00006C210000}"/>
    <cellStyle name="Note 3 2 2 4 2 2" xfId="7883" xr:uid="{00000000-0005-0000-0000-00006D210000}"/>
    <cellStyle name="Note 3 2 2 4 2 2 2" xfId="16325" xr:uid="{E10BD591-CBF9-4AB1-85CE-DE9DCA146628}"/>
    <cellStyle name="Note 3 2 2 4 2 3" xfId="12107" xr:uid="{8D431588-BCF1-4446-90CF-83A0AB876B87}"/>
    <cellStyle name="Note 3 2 2 4 3" xfId="5738" xr:uid="{00000000-0005-0000-0000-00006E210000}"/>
    <cellStyle name="Note 3 2 2 4 3 2" xfId="14180" xr:uid="{6E7486BA-D8E2-47FC-B730-9CCE02C52454}"/>
    <cellStyle name="Note 3 2 2 4 4" xfId="9962" xr:uid="{B620546C-9A74-404F-9C63-7C4FED9EC2AE}"/>
    <cellStyle name="Note 3 2 2 5" xfId="1844" xr:uid="{00000000-0005-0000-0000-00006F210000}"/>
    <cellStyle name="Note 3 2 2 5 2" xfId="4073" xr:uid="{00000000-0005-0000-0000-000070210000}"/>
    <cellStyle name="Note 3 2 2 5 2 2" xfId="8296" xr:uid="{00000000-0005-0000-0000-000071210000}"/>
    <cellStyle name="Note 3 2 2 5 2 2 2" xfId="16738" xr:uid="{1DF3EA8E-FC27-4E9F-B2BA-3E3B872DEFBD}"/>
    <cellStyle name="Note 3 2 2 5 2 3" xfId="12520" xr:uid="{3756C1DC-795F-4327-9620-50C8DF641A7F}"/>
    <cellStyle name="Note 3 2 2 5 3" xfId="6151" xr:uid="{00000000-0005-0000-0000-000072210000}"/>
    <cellStyle name="Note 3 2 2 5 3 2" xfId="14593" xr:uid="{CEA7CF6B-4C8C-47F4-B7AE-B85CA76EA0CA}"/>
    <cellStyle name="Note 3 2 2 5 4" xfId="10375" xr:uid="{05DCBC64-4EC5-4457-B2A1-219941211F5A}"/>
    <cellStyle name="Note 3 2 2 6" xfId="2257" xr:uid="{00000000-0005-0000-0000-000073210000}"/>
    <cellStyle name="Note 3 2 2 6 2" xfId="4486" xr:uid="{00000000-0005-0000-0000-000074210000}"/>
    <cellStyle name="Note 3 2 2 6 2 2" xfId="8709" xr:uid="{00000000-0005-0000-0000-000075210000}"/>
    <cellStyle name="Note 3 2 2 6 2 2 2" xfId="17151" xr:uid="{415B82EF-0E72-419F-B35A-AA9DC6CBD5D2}"/>
    <cellStyle name="Note 3 2 2 6 2 3" xfId="12933" xr:uid="{F03CEF51-3FD3-4BAF-B6C1-A1F2B9EE3E2B}"/>
    <cellStyle name="Note 3 2 2 6 3" xfId="6564" xr:uid="{00000000-0005-0000-0000-000076210000}"/>
    <cellStyle name="Note 3 2 2 6 3 2" xfId="15006" xr:uid="{A703B29A-75B6-4624-827D-C469E40429B7}"/>
    <cellStyle name="Note 3 2 2 6 4" xfId="10788" xr:uid="{C18FE428-348A-426C-BC86-B341BE1E2777}"/>
    <cellStyle name="Note 3 2 2 7" xfId="2693" xr:uid="{00000000-0005-0000-0000-000077210000}"/>
    <cellStyle name="Note 3 2 2 7 2" xfId="6977" xr:uid="{00000000-0005-0000-0000-000078210000}"/>
    <cellStyle name="Note 3 2 2 7 2 2" xfId="15419" xr:uid="{42AC5FBE-8F02-4989-BE55-677170DBEDA3}"/>
    <cellStyle name="Note 3 2 2 7 3" xfId="11201" xr:uid="{B1E68771-7B5F-4CA3-84BD-85F41E26BBB8}"/>
    <cellStyle name="Note 3 2 2 8" xfId="2752" xr:uid="{00000000-0005-0000-0000-000079210000}"/>
    <cellStyle name="Note 3 2 2 9" xfId="2833" xr:uid="{00000000-0005-0000-0000-00007A210000}"/>
    <cellStyle name="Note 3 2 2 9 2" xfId="7057" xr:uid="{00000000-0005-0000-0000-00007B210000}"/>
    <cellStyle name="Note 3 2 2 9 2 2" xfId="15499" xr:uid="{99FF0755-25FE-4F94-B888-7E767C2D8CAD}"/>
    <cellStyle name="Note 3 2 2 9 3" xfId="11281" xr:uid="{A1394A5A-20BA-4F75-9CD4-1453AB32197C}"/>
    <cellStyle name="Note 3 2 3" xfId="557" xr:uid="{00000000-0005-0000-0000-00007C210000}"/>
    <cellStyle name="Note 3 2 3 10" xfId="9138" xr:uid="{08C65C50-D69F-4C94-82CE-A153026FE9BB}"/>
    <cellStyle name="Note 3 2 3 2" xfId="1017" xr:uid="{00000000-0005-0000-0000-00007D210000}"/>
    <cellStyle name="Note 3 2 3 2 2" xfId="3249" xr:uid="{00000000-0005-0000-0000-00007E210000}"/>
    <cellStyle name="Note 3 2 3 2 2 2" xfId="7472" xr:uid="{00000000-0005-0000-0000-00007F210000}"/>
    <cellStyle name="Note 3 2 3 2 2 2 2" xfId="15914" xr:uid="{5B7FF7A9-8A73-4578-BF0A-276073EAFDD8}"/>
    <cellStyle name="Note 3 2 3 2 2 3" xfId="11696" xr:uid="{1B2F6F04-1C98-46B2-A54C-40E8F2462753}"/>
    <cellStyle name="Note 3 2 3 2 3" xfId="5327" xr:uid="{00000000-0005-0000-0000-000080210000}"/>
    <cellStyle name="Note 3 2 3 2 3 2" xfId="13769" xr:uid="{202F5985-94A3-4FD1-AA20-8F5E90C5A97D}"/>
    <cellStyle name="Note 3 2 3 2 4" xfId="9551" xr:uid="{35EDF0A6-D13D-4946-A188-920B1D05C940}"/>
    <cellStyle name="Note 3 2 3 3" xfId="1432" xr:uid="{00000000-0005-0000-0000-000081210000}"/>
    <cellStyle name="Note 3 2 3 3 2" xfId="3662" xr:uid="{00000000-0005-0000-0000-000082210000}"/>
    <cellStyle name="Note 3 2 3 3 2 2" xfId="7885" xr:uid="{00000000-0005-0000-0000-000083210000}"/>
    <cellStyle name="Note 3 2 3 3 2 2 2" xfId="16327" xr:uid="{9769DF26-1816-449B-B4E8-90E3F6923EA4}"/>
    <cellStyle name="Note 3 2 3 3 2 3" xfId="12109" xr:uid="{70BC4686-4130-4FF2-BE99-E52781824AD5}"/>
    <cellStyle name="Note 3 2 3 3 3" xfId="5740" xr:uid="{00000000-0005-0000-0000-000084210000}"/>
    <cellStyle name="Note 3 2 3 3 3 2" xfId="14182" xr:uid="{4E1A4B5E-B46B-4C7B-B4EC-DB53F0918E6A}"/>
    <cellStyle name="Note 3 2 3 3 4" xfId="9964" xr:uid="{9E087109-5223-4FD6-9C23-51C010C2FEF0}"/>
    <cellStyle name="Note 3 2 3 4" xfId="1846" xr:uid="{00000000-0005-0000-0000-000085210000}"/>
    <cellStyle name="Note 3 2 3 4 2" xfId="4075" xr:uid="{00000000-0005-0000-0000-000086210000}"/>
    <cellStyle name="Note 3 2 3 4 2 2" xfId="8298" xr:uid="{00000000-0005-0000-0000-000087210000}"/>
    <cellStyle name="Note 3 2 3 4 2 2 2" xfId="16740" xr:uid="{E372E091-8451-4A5A-B79B-2BD2CB848767}"/>
    <cellStyle name="Note 3 2 3 4 2 3" xfId="12522" xr:uid="{D2909379-94A2-4980-933C-CAEC05198D27}"/>
    <cellStyle name="Note 3 2 3 4 3" xfId="6153" xr:uid="{00000000-0005-0000-0000-000088210000}"/>
    <cellStyle name="Note 3 2 3 4 3 2" xfId="14595" xr:uid="{4D81605B-F70A-4526-BD57-2220EF19F960}"/>
    <cellStyle name="Note 3 2 3 4 4" xfId="10377" xr:uid="{506F7E1A-3A15-452A-9FDC-397DB03F8F38}"/>
    <cellStyle name="Note 3 2 3 5" xfId="2259" xr:uid="{00000000-0005-0000-0000-000089210000}"/>
    <cellStyle name="Note 3 2 3 5 2" xfId="4488" xr:uid="{00000000-0005-0000-0000-00008A210000}"/>
    <cellStyle name="Note 3 2 3 5 2 2" xfId="8711" xr:uid="{00000000-0005-0000-0000-00008B210000}"/>
    <cellStyle name="Note 3 2 3 5 2 2 2" xfId="17153" xr:uid="{3352D05F-D8E5-469E-B919-A9B71CD2D03C}"/>
    <cellStyle name="Note 3 2 3 5 2 3" xfId="12935" xr:uid="{B0520AA6-8B7F-4154-9822-8B9459F1A461}"/>
    <cellStyle name="Note 3 2 3 5 3" xfId="6566" xr:uid="{00000000-0005-0000-0000-00008C210000}"/>
    <cellStyle name="Note 3 2 3 5 3 2" xfId="15008" xr:uid="{38AEEDF5-5D19-46E6-89A5-F9C7ACD7B7FD}"/>
    <cellStyle name="Note 3 2 3 5 4" xfId="10790" xr:uid="{11AA8CF8-0F1F-4728-86A5-08C38BAD9360}"/>
    <cellStyle name="Note 3 2 3 6" xfId="2695" xr:uid="{00000000-0005-0000-0000-00008D210000}"/>
    <cellStyle name="Note 3 2 3 6 2" xfId="6979" xr:uid="{00000000-0005-0000-0000-00008E210000}"/>
    <cellStyle name="Note 3 2 3 6 2 2" xfId="15421" xr:uid="{16707167-8A8B-4A69-8717-0BBA331059ED}"/>
    <cellStyle name="Note 3 2 3 6 3" xfId="11203" xr:uid="{3EE05E04-3912-4EE5-B070-C1597F160C04}"/>
    <cellStyle name="Note 3 2 3 7" xfId="2754" xr:uid="{00000000-0005-0000-0000-00008F210000}"/>
    <cellStyle name="Note 3 2 3 8" xfId="2835" xr:uid="{00000000-0005-0000-0000-000090210000}"/>
    <cellStyle name="Note 3 2 3 8 2" xfId="7059" xr:uid="{00000000-0005-0000-0000-000091210000}"/>
    <cellStyle name="Note 3 2 3 8 2 2" xfId="15501" xr:uid="{4E0762A3-458C-4E72-8D44-F61E688BAB37}"/>
    <cellStyle name="Note 3 2 3 8 3" xfId="11283" xr:uid="{D4143153-4959-4D65-9CC3-FD8EB6BC435B}"/>
    <cellStyle name="Note 3 2 3 9" xfId="4914" xr:uid="{00000000-0005-0000-0000-000092210000}"/>
    <cellStyle name="Note 3 2 3 9 2" xfId="13356" xr:uid="{68463C3C-6AED-4C60-BC9A-590D286C6018}"/>
    <cellStyle name="Note 3 2 4" xfId="1014" xr:uid="{00000000-0005-0000-0000-000093210000}"/>
    <cellStyle name="Note 3 2 4 2" xfId="3246" xr:uid="{00000000-0005-0000-0000-000094210000}"/>
    <cellStyle name="Note 3 2 4 2 2" xfId="7469" xr:uid="{00000000-0005-0000-0000-000095210000}"/>
    <cellStyle name="Note 3 2 4 2 2 2" xfId="15911" xr:uid="{BE314CFD-497C-48C0-906B-40F08D48D49A}"/>
    <cellStyle name="Note 3 2 4 2 3" xfId="11693" xr:uid="{2F8091C2-FE40-475F-AC92-2CBBD11F2A04}"/>
    <cellStyle name="Note 3 2 4 3" xfId="5324" xr:uid="{00000000-0005-0000-0000-000096210000}"/>
    <cellStyle name="Note 3 2 4 3 2" xfId="13766" xr:uid="{CDEABC6A-BD00-442B-9C03-4E1900387FDA}"/>
    <cellStyle name="Note 3 2 4 4" xfId="9548" xr:uid="{E83F8B2F-1D9A-499F-8B6A-B90E612CF501}"/>
    <cellStyle name="Note 3 2 5" xfId="1429" xr:uid="{00000000-0005-0000-0000-000097210000}"/>
    <cellStyle name="Note 3 2 5 2" xfId="3659" xr:uid="{00000000-0005-0000-0000-000098210000}"/>
    <cellStyle name="Note 3 2 5 2 2" xfId="7882" xr:uid="{00000000-0005-0000-0000-000099210000}"/>
    <cellStyle name="Note 3 2 5 2 2 2" xfId="16324" xr:uid="{610B0328-FE62-4478-AF90-8C5F56FDE936}"/>
    <cellStyle name="Note 3 2 5 2 3" xfId="12106" xr:uid="{74C10F29-7EE3-417B-8553-D816FA02EA79}"/>
    <cellStyle name="Note 3 2 5 3" xfId="5737" xr:uid="{00000000-0005-0000-0000-00009A210000}"/>
    <cellStyle name="Note 3 2 5 3 2" xfId="14179" xr:uid="{BFFAFD01-D47C-4AA9-BF9B-99ED916A292D}"/>
    <cellStyle name="Note 3 2 5 4" xfId="9961" xr:uid="{5A7EB9BD-DD2B-4C3F-AC5A-333F0C69D2E3}"/>
    <cellStyle name="Note 3 2 6" xfId="1843" xr:uid="{00000000-0005-0000-0000-00009B210000}"/>
    <cellStyle name="Note 3 2 6 2" xfId="4072" xr:uid="{00000000-0005-0000-0000-00009C210000}"/>
    <cellStyle name="Note 3 2 6 2 2" xfId="8295" xr:uid="{00000000-0005-0000-0000-00009D210000}"/>
    <cellStyle name="Note 3 2 6 2 2 2" xfId="16737" xr:uid="{247A2D3A-B4C9-4553-B828-820978A9A8A4}"/>
    <cellStyle name="Note 3 2 6 2 3" xfId="12519" xr:uid="{4D20E1D6-5CDA-499F-9085-126A7C2EB811}"/>
    <cellStyle name="Note 3 2 6 3" xfId="6150" xr:uid="{00000000-0005-0000-0000-00009E210000}"/>
    <cellStyle name="Note 3 2 6 3 2" xfId="14592" xr:uid="{5BE6C507-93F1-4B7C-84A1-D270073C8D3A}"/>
    <cellStyle name="Note 3 2 6 4" xfId="10374" xr:uid="{2285BFA3-13A6-4C18-AD4A-07D33F311535}"/>
    <cellStyle name="Note 3 2 7" xfId="2256" xr:uid="{00000000-0005-0000-0000-00009F210000}"/>
    <cellStyle name="Note 3 2 7 2" xfId="4485" xr:uid="{00000000-0005-0000-0000-0000A0210000}"/>
    <cellStyle name="Note 3 2 7 2 2" xfId="8708" xr:uid="{00000000-0005-0000-0000-0000A1210000}"/>
    <cellStyle name="Note 3 2 7 2 2 2" xfId="17150" xr:uid="{C03D8659-6A12-4C6A-A53F-6684262D3B36}"/>
    <cellStyle name="Note 3 2 7 2 3" xfId="12932" xr:uid="{84300058-CB24-4F40-BC5F-596CDA86E626}"/>
    <cellStyle name="Note 3 2 7 3" xfId="6563" xr:uid="{00000000-0005-0000-0000-0000A2210000}"/>
    <cellStyle name="Note 3 2 7 3 2" xfId="15005" xr:uid="{E7FDAF6D-6543-4979-ABAC-80FE23E4F838}"/>
    <cellStyle name="Note 3 2 7 4" xfId="10787" xr:uid="{00EB7774-F6D2-4FA5-BED3-EB5EBA45E2E9}"/>
    <cellStyle name="Note 3 2 8" xfId="2692" xr:uid="{00000000-0005-0000-0000-0000A3210000}"/>
    <cellStyle name="Note 3 2 8 2" xfId="6976" xr:uid="{00000000-0005-0000-0000-0000A4210000}"/>
    <cellStyle name="Note 3 2 8 2 2" xfId="15418" xr:uid="{E650B2F8-3543-426A-BAC9-9ECAEDC81081}"/>
    <cellStyle name="Note 3 2 8 3" xfId="11200" xr:uid="{911D061F-B58D-48DF-993F-CF690D5AD533}"/>
    <cellStyle name="Note 3 2 9" xfId="2751" xr:uid="{00000000-0005-0000-0000-0000A5210000}"/>
    <cellStyle name="Note 3 3" xfId="558" xr:uid="{00000000-0005-0000-0000-0000A6210000}"/>
    <cellStyle name="Note 3 3 10" xfId="4915" xr:uid="{00000000-0005-0000-0000-0000A7210000}"/>
    <cellStyle name="Note 3 3 10 2" xfId="13357" xr:uid="{90CA2F39-02B7-4196-A334-811122426C7C}"/>
    <cellStyle name="Note 3 3 11" xfId="9139" xr:uid="{91DC859E-AC2B-42C3-B09B-85E0415159DA}"/>
    <cellStyle name="Note 3 3 2" xfId="559" xr:uid="{00000000-0005-0000-0000-0000A8210000}"/>
    <cellStyle name="Note 3 3 2 10" xfId="9140" xr:uid="{C3B8C0C9-7384-4133-9499-F3AE1D48C428}"/>
    <cellStyle name="Note 3 3 2 2" xfId="1019" xr:uid="{00000000-0005-0000-0000-0000A9210000}"/>
    <cellStyle name="Note 3 3 2 2 2" xfId="3251" xr:uid="{00000000-0005-0000-0000-0000AA210000}"/>
    <cellStyle name="Note 3 3 2 2 2 2" xfId="7474" xr:uid="{00000000-0005-0000-0000-0000AB210000}"/>
    <cellStyle name="Note 3 3 2 2 2 2 2" xfId="15916" xr:uid="{0AE34CC5-5B4A-4ECA-A737-70D1C4BBD891}"/>
    <cellStyle name="Note 3 3 2 2 2 3" xfId="11698" xr:uid="{D81793C9-4D2E-44E6-86FB-1D3D4BEBEEBA}"/>
    <cellStyle name="Note 3 3 2 2 3" xfId="5329" xr:uid="{00000000-0005-0000-0000-0000AC210000}"/>
    <cellStyle name="Note 3 3 2 2 3 2" xfId="13771" xr:uid="{A42FB9F1-31E9-4EE5-95ED-52B2C4E7E69E}"/>
    <cellStyle name="Note 3 3 2 2 4" xfId="9553" xr:uid="{3F668F20-CC82-4587-974B-8CD78DCBB1C3}"/>
    <cellStyle name="Note 3 3 2 3" xfId="1434" xr:uid="{00000000-0005-0000-0000-0000AD210000}"/>
    <cellStyle name="Note 3 3 2 3 2" xfId="3664" xr:uid="{00000000-0005-0000-0000-0000AE210000}"/>
    <cellStyle name="Note 3 3 2 3 2 2" xfId="7887" xr:uid="{00000000-0005-0000-0000-0000AF210000}"/>
    <cellStyle name="Note 3 3 2 3 2 2 2" xfId="16329" xr:uid="{7A51A71E-6612-471D-A125-24CF59DA43CA}"/>
    <cellStyle name="Note 3 3 2 3 2 3" xfId="12111" xr:uid="{076B53F2-EEAC-46E2-A694-5BF3D4AB5125}"/>
    <cellStyle name="Note 3 3 2 3 3" xfId="5742" xr:uid="{00000000-0005-0000-0000-0000B0210000}"/>
    <cellStyle name="Note 3 3 2 3 3 2" xfId="14184" xr:uid="{0468B29A-07C4-4EF5-A6CF-74297067AAFC}"/>
    <cellStyle name="Note 3 3 2 3 4" xfId="9966" xr:uid="{7F615E7C-6378-4B1E-839E-2A59EB4A7C83}"/>
    <cellStyle name="Note 3 3 2 4" xfId="1848" xr:uid="{00000000-0005-0000-0000-0000B1210000}"/>
    <cellStyle name="Note 3 3 2 4 2" xfId="4077" xr:uid="{00000000-0005-0000-0000-0000B2210000}"/>
    <cellStyle name="Note 3 3 2 4 2 2" xfId="8300" xr:uid="{00000000-0005-0000-0000-0000B3210000}"/>
    <cellStyle name="Note 3 3 2 4 2 2 2" xfId="16742" xr:uid="{CAF08EFF-1359-4063-B916-AB27A103ECC2}"/>
    <cellStyle name="Note 3 3 2 4 2 3" xfId="12524" xr:uid="{2F4868CA-71D4-4B53-A7A8-80F105E073E2}"/>
    <cellStyle name="Note 3 3 2 4 3" xfId="6155" xr:uid="{00000000-0005-0000-0000-0000B4210000}"/>
    <cellStyle name="Note 3 3 2 4 3 2" xfId="14597" xr:uid="{FFAE9CB5-AF6A-4EC5-B8A9-B2C5564E630C}"/>
    <cellStyle name="Note 3 3 2 4 4" xfId="10379" xr:uid="{1DA59C9E-22AF-418C-8FDE-CE5D202F7A8D}"/>
    <cellStyle name="Note 3 3 2 5" xfId="2261" xr:uid="{00000000-0005-0000-0000-0000B5210000}"/>
    <cellStyle name="Note 3 3 2 5 2" xfId="4490" xr:uid="{00000000-0005-0000-0000-0000B6210000}"/>
    <cellStyle name="Note 3 3 2 5 2 2" xfId="8713" xr:uid="{00000000-0005-0000-0000-0000B7210000}"/>
    <cellStyle name="Note 3 3 2 5 2 2 2" xfId="17155" xr:uid="{2936CE5E-6F9B-45A8-A12F-5491C0C3EB93}"/>
    <cellStyle name="Note 3 3 2 5 2 3" xfId="12937" xr:uid="{BEF3CE31-E1EC-4E22-A1F9-646D225B9D5B}"/>
    <cellStyle name="Note 3 3 2 5 3" xfId="6568" xr:uid="{00000000-0005-0000-0000-0000B8210000}"/>
    <cellStyle name="Note 3 3 2 5 3 2" xfId="15010" xr:uid="{376C6B86-49BC-46DC-AA42-F61293B36D19}"/>
    <cellStyle name="Note 3 3 2 5 4" xfId="10792" xr:uid="{8FA06B08-6DFE-4C6C-A6B2-27B4322F89BE}"/>
    <cellStyle name="Note 3 3 2 6" xfId="2697" xr:uid="{00000000-0005-0000-0000-0000B9210000}"/>
    <cellStyle name="Note 3 3 2 6 2" xfId="6981" xr:uid="{00000000-0005-0000-0000-0000BA210000}"/>
    <cellStyle name="Note 3 3 2 6 2 2" xfId="15423" xr:uid="{65C82E82-5F3A-4B05-83B7-E9F8D9DD454D}"/>
    <cellStyle name="Note 3 3 2 6 3" xfId="11205" xr:uid="{1224BA27-AA43-4CCB-ACD9-39CB6EF6F9B1}"/>
    <cellStyle name="Note 3 3 2 7" xfId="2756" xr:uid="{00000000-0005-0000-0000-0000BB210000}"/>
    <cellStyle name="Note 3 3 2 8" xfId="2837" xr:uid="{00000000-0005-0000-0000-0000BC210000}"/>
    <cellStyle name="Note 3 3 2 8 2" xfId="7061" xr:uid="{00000000-0005-0000-0000-0000BD210000}"/>
    <cellStyle name="Note 3 3 2 8 2 2" xfId="15503" xr:uid="{35D0F3C8-68F9-4135-A47B-483FD94B9C34}"/>
    <cellStyle name="Note 3 3 2 8 3" xfId="11285" xr:uid="{A06DFEEB-8C5E-4FD5-AEEB-37E82B3C819A}"/>
    <cellStyle name="Note 3 3 2 9" xfId="4916" xr:uid="{00000000-0005-0000-0000-0000BE210000}"/>
    <cellStyle name="Note 3 3 2 9 2" xfId="13358" xr:uid="{4D01A4A1-B206-475E-8DF6-BD2F070B02C6}"/>
    <cellStyle name="Note 3 3 3" xfId="1018" xr:uid="{00000000-0005-0000-0000-0000BF210000}"/>
    <cellStyle name="Note 3 3 3 2" xfId="3250" xr:uid="{00000000-0005-0000-0000-0000C0210000}"/>
    <cellStyle name="Note 3 3 3 2 2" xfId="7473" xr:uid="{00000000-0005-0000-0000-0000C1210000}"/>
    <cellStyle name="Note 3 3 3 2 2 2" xfId="15915" xr:uid="{04DC200D-15A0-4228-A928-37F2CDCADE63}"/>
    <cellStyle name="Note 3 3 3 2 3" xfId="11697" xr:uid="{894142F1-9F14-44D9-8F5A-8534CAC5EC2A}"/>
    <cellStyle name="Note 3 3 3 3" xfId="5328" xr:uid="{00000000-0005-0000-0000-0000C2210000}"/>
    <cellStyle name="Note 3 3 3 3 2" xfId="13770" xr:uid="{CB76EAB7-BE77-45FC-94DA-EE686C940D27}"/>
    <cellStyle name="Note 3 3 3 4" xfId="9552" xr:uid="{49F93E1C-2B26-49E3-94AA-5A5B77905B22}"/>
    <cellStyle name="Note 3 3 4" xfId="1433" xr:uid="{00000000-0005-0000-0000-0000C3210000}"/>
    <cellStyle name="Note 3 3 4 2" xfId="3663" xr:uid="{00000000-0005-0000-0000-0000C4210000}"/>
    <cellStyle name="Note 3 3 4 2 2" xfId="7886" xr:uid="{00000000-0005-0000-0000-0000C5210000}"/>
    <cellStyle name="Note 3 3 4 2 2 2" xfId="16328" xr:uid="{E027DD21-7D34-4820-BC7C-A326AC29933D}"/>
    <cellStyle name="Note 3 3 4 2 3" xfId="12110" xr:uid="{0CFF16B5-950E-45BC-B105-BEE0F4290B20}"/>
    <cellStyle name="Note 3 3 4 3" xfId="5741" xr:uid="{00000000-0005-0000-0000-0000C6210000}"/>
    <cellStyle name="Note 3 3 4 3 2" xfId="14183" xr:uid="{267535A6-3A0A-4B91-92E4-03CE38225D7F}"/>
    <cellStyle name="Note 3 3 4 4" xfId="9965" xr:uid="{CB9E5CE0-4A5B-4D80-B636-94E38AD3DCC4}"/>
    <cellStyle name="Note 3 3 5" xfId="1847" xr:uid="{00000000-0005-0000-0000-0000C7210000}"/>
    <cellStyle name="Note 3 3 5 2" xfId="4076" xr:uid="{00000000-0005-0000-0000-0000C8210000}"/>
    <cellStyle name="Note 3 3 5 2 2" xfId="8299" xr:uid="{00000000-0005-0000-0000-0000C9210000}"/>
    <cellStyle name="Note 3 3 5 2 2 2" xfId="16741" xr:uid="{8C245FC7-D2B0-469A-BF97-8EF4F0B47257}"/>
    <cellStyle name="Note 3 3 5 2 3" xfId="12523" xr:uid="{28AAF27D-12E4-4426-84EE-EBDA7F02BAA7}"/>
    <cellStyle name="Note 3 3 5 3" xfId="6154" xr:uid="{00000000-0005-0000-0000-0000CA210000}"/>
    <cellStyle name="Note 3 3 5 3 2" xfId="14596" xr:uid="{A0FF9BC0-ACCD-4316-82C0-E203304A7463}"/>
    <cellStyle name="Note 3 3 5 4" xfId="10378" xr:uid="{77210100-5F3F-4FED-82BC-3F1461DF982B}"/>
    <cellStyle name="Note 3 3 6" xfId="2260" xr:uid="{00000000-0005-0000-0000-0000CB210000}"/>
    <cellStyle name="Note 3 3 6 2" xfId="4489" xr:uid="{00000000-0005-0000-0000-0000CC210000}"/>
    <cellStyle name="Note 3 3 6 2 2" xfId="8712" xr:uid="{00000000-0005-0000-0000-0000CD210000}"/>
    <cellStyle name="Note 3 3 6 2 2 2" xfId="17154" xr:uid="{D794AECE-B2C0-4228-A585-F81559D05B46}"/>
    <cellStyle name="Note 3 3 6 2 3" xfId="12936" xr:uid="{0A9260AD-06FB-4FFF-81E7-18638EF50BC7}"/>
    <cellStyle name="Note 3 3 6 3" xfId="6567" xr:uid="{00000000-0005-0000-0000-0000CE210000}"/>
    <cellStyle name="Note 3 3 6 3 2" xfId="15009" xr:uid="{883C372A-ED9F-4CC7-9A7D-4FC1DAC94EDE}"/>
    <cellStyle name="Note 3 3 6 4" xfId="10791" xr:uid="{D880811D-8FC9-49ED-B0B3-C7B88A45A367}"/>
    <cellStyle name="Note 3 3 7" xfId="2696" xr:uid="{00000000-0005-0000-0000-0000CF210000}"/>
    <cellStyle name="Note 3 3 7 2" xfId="6980" xr:uid="{00000000-0005-0000-0000-0000D0210000}"/>
    <cellStyle name="Note 3 3 7 2 2" xfId="15422" xr:uid="{16C96C13-AD19-474D-8A01-4756C0C2F7CE}"/>
    <cellStyle name="Note 3 3 7 3" xfId="11204" xr:uid="{875C2CBD-0BDC-4D2F-B4D6-017F6DA27F69}"/>
    <cellStyle name="Note 3 3 8" xfId="2755" xr:uid="{00000000-0005-0000-0000-0000D1210000}"/>
    <cellStyle name="Note 3 3 9" xfId="2836" xr:uid="{00000000-0005-0000-0000-0000D2210000}"/>
    <cellStyle name="Note 3 3 9 2" xfId="7060" xr:uid="{00000000-0005-0000-0000-0000D3210000}"/>
    <cellStyle name="Note 3 3 9 2 2" xfId="15502" xr:uid="{A2A4E4E0-F1B6-4A9A-9145-048FC4ED1C11}"/>
    <cellStyle name="Note 3 3 9 3" xfId="11284" xr:uid="{B18086C2-680A-4FF4-9E69-B1E14E795AFA}"/>
    <cellStyle name="Note 3 4" xfId="560" xr:uid="{00000000-0005-0000-0000-0000D4210000}"/>
    <cellStyle name="Note 3 4 10" xfId="9141" xr:uid="{04004423-6E2B-4748-AEE2-CB2118A9263B}"/>
    <cellStyle name="Note 3 4 2" xfId="1020" xr:uid="{00000000-0005-0000-0000-0000D5210000}"/>
    <cellStyle name="Note 3 4 2 2" xfId="3252" xr:uid="{00000000-0005-0000-0000-0000D6210000}"/>
    <cellStyle name="Note 3 4 2 2 2" xfId="7475" xr:uid="{00000000-0005-0000-0000-0000D7210000}"/>
    <cellStyle name="Note 3 4 2 2 2 2" xfId="15917" xr:uid="{7D9D8934-EB5E-441A-B3DC-AE6C7151F489}"/>
    <cellStyle name="Note 3 4 2 2 3" xfId="11699" xr:uid="{9A38949D-63A1-4087-A6FA-603A7F863857}"/>
    <cellStyle name="Note 3 4 2 3" xfId="5330" xr:uid="{00000000-0005-0000-0000-0000D8210000}"/>
    <cellStyle name="Note 3 4 2 3 2" xfId="13772" xr:uid="{1A678E1B-FADC-40EE-AF44-CBFCC13CEDD8}"/>
    <cellStyle name="Note 3 4 2 4" xfId="9554" xr:uid="{E2015BBB-C66C-4ABB-BFCD-FC53CCF0964C}"/>
    <cellStyle name="Note 3 4 3" xfId="1435" xr:uid="{00000000-0005-0000-0000-0000D9210000}"/>
    <cellStyle name="Note 3 4 3 2" xfId="3665" xr:uid="{00000000-0005-0000-0000-0000DA210000}"/>
    <cellStyle name="Note 3 4 3 2 2" xfId="7888" xr:uid="{00000000-0005-0000-0000-0000DB210000}"/>
    <cellStyle name="Note 3 4 3 2 2 2" xfId="16330" xr:uid="{5CC141C5-9DB9-4135-8069-1D8304465455}"/>
    <cellStyle name="Note 3 4 3 2 3" xfId="12112" xr:uid="{CAD85064-AAB1-418A-B991-62B624102B93}"/>
    <cellStyle name="Note 3 4 3 3" xfId="5743" xr:uid="{00000000-0005-0000-0000-0000DC210000}"/>
    <cellStyle name="Note 3 4 3 3 2" xfId="14185" xr:uid="{5248ECA9-3D73-41D5-8B7A-D4ED8FC7DA12}"/>
    <cellStyle name="Note 3 4 3 4" xfId="9967" xr:uid="{8CA83FA7-0993-4959-A030-E5F63D43E7ED}"/>
    <cellStyle name="Note 3 4 4" xfId="1849" xr:uid="{00000000-0005-0000-0000-0000DD210000}"/>
    <cellStyle name="Note 3 4 4 2" xfId="4078" xr:uid="{00000000-0005-0000-0000-0000DE210000}"/>
    <cellStyle name="Note 3 4 4 2 2" xfId="8301" xr:uid="{00000000-0005-0000-0000-0000DF210000}"/>
    <cellStyle name="Note 3 4 4 2 2 2" xfId="16743" xr:uid="{B7267765-7341-4D46-A92A-F98F77017C44}"/>
    <cellStyle name="Note 3 4 4 2 3" xfId="12525" xr:uid="{A1E5E99B-0A1C-4459-B2E1-D3E6EC0266AC}"/>
    <cellStyle name="Note 3 4 4 3" xfId="6156" xr:uid="{00000000-0005-0000-0000-0000E0210000}"/>
    <cellStyle name="Note 3 4 4 3 2" xfId="14598" xr:uid="{23F4F221-0C36-4E30-A88A-E143F0B7EDE5}"/>
    <cellStyle name="Note 3 4 4 4" xfId="10380" xr:uid="{7340A48C-3C86-4ABB-9812-9B9ACC422BDE}"/>
    <cellStyle name="Note 3 4 5" xfId="2262" xr:uid="{00000000-0005-0000-0000-0000E1210000}"/>
    <cellStyle name="Note 3 4 5 2" xfId="4491" xr:uid="{00000000-0005-0000-0000-0000E2210000}"/>
    <cellStyle name="Note 3 4 5 2 2" xfId="8714" xr:uid="{00000000-0005-0000-0000-0000E3210000}"/>
    <cellStyle name="Note 3 4 5 2 2 2" xfId="17156" xr:uid="{E387612F-0326-41FE-B343-9B5E216AED45}"/>
    <cellStyle name="Note 3 4 5 2 3" xfId="12938" xr:uid="{258ACA61-D3BC-42F7-A8C1-79D132E86383}"/>
    <cellStyle name="Note 3 4 5 3" xfId="6569" xr:uid="{00000000-0005-0000-0000-0000E4210000}"/>
    <cellStyle name="Note 3 4 5 3 2" xfId="15011" xr:uid="{B14549E7-6D58-4A0A-B008-C9350F93AAF7}"/>
    <cellStyle name="Note 3 4 5 4" xfId="10793" xr:uid="{A9E6E387-4F80-40F2-AC2D-CB7E95D749D2}"/>
    <cellStyle name="Note 3 4 6" xfId="2698" xr:uid="{00000000-0005-0000-0000-0000E5210000}"/>
    <cellStyle name="Note 3 4 6 2" xfId="6982" xr:uid="{00000000-0005-0000-0000-0000E6210000}"/>
    <cellStyle name="Note 3 4 6 2 2" xfId="15424" xr:uid="{D5041523-F37F-4AFD-AF25-57C66EBDE171}"/>
    <cellStyle name="Note 3 4 6 3" xfId="11206" xr:uid="{1062EF39-80CE-4B46-AAD3-3D3DE257F2D3}"/>
    <cellStyle name="Note 3 4 7" xfId="2757" xr:uid="{00000000-0005-0000-0000-0000E7210000}"/>
    <cellStyle name="Note 3 4 8" xfId="2838" xr:uid="{00000000-0005-0000-0000-0000E8210000}"/>
    <cellStyle name="Note 3 4 8 2" xfId="7062" xr:uid="{00000000-0005-0000-0000-0000E9210000}"/>
    <cellStyle name="Note 3 4 8 2 2" xfId="15504" xr:uid="{0E0B3813-67D4-4403-988D-DEDF2E692A69}"/>
    <cellStyle name="Note 3 4 8 3" xfId="11286" xr:uid="{3AF48441-D5EB-4EAB-9A96-142143D4AFAE}"/>
    <cellStyle name="Note 3 4 9" xfId="4917" xr:uid="{00000000-0005-0000-0000-0000EA210000}"/>
    <cellStyle name="Note 3 4 9 2" xfId="13359" xr:uid="{4CAFAF09-3175-4FD9-86AD-E925C8AE8CA3}"/>
    <cellStyle name="Note 3 5" xfId="561" xr:uid="{00000000-0005-0000-0000-0000EB210000}"/>
    <cellStyle name="Note 3 5 10" xfId="9142" xr:uid="{E3508BFD-3CC7-4435-B427-DD60305F45B5}"/>
    <cellStyle name="Note 3 5 2" xfId="1021" xr:uid="{00000000-0005-0000-0000-0000EC210000}"/>
    <cellStyle name="Note 3 5 2 2" xfId="3253" xr:uid="{00000000-0005-0000-0000-0000ED210000}"/>
    <cellStyle name="Note 3 5 2 2 2" xfId="7476" xr:uid="{00000000-0005-0000-0000-0000EE210000}"/>
    <cellStyle name="Note 3 5 2 2 2 2" xfId="15918" xr:uid="{00404CBC-E75C-4200-A23C-7741D3C73C3A}"/>
    <cellStyle name="Note 3 5 2 2 3" xfId="11700" xr:uid="{5022E85B-16FE-498D-A13F-964E954F96A8}"/>
    <cellStyle name="Note 3 5 2 3" xfId="5331" xr:uid="{00000000-0005-0000-0000-0000EF210000}"/>
    <cellStyle name="Note 3 5 2 3 2" xfId="13773" xr:uid="{7E654919-D02D-4F1B-871F-2C0A2F5153D8}"/>
    <cellStyle name="Note 3 5 2 4" xfId="9555" xr:uid="{D7808777-6E4B-4376-8BBE-3F05DD33522A}"/>
    <cellStyle name="Note 3 5 3" xfId="1436" xr:uid="{00000000-0005-0000-0000-0000F0210000}"/>
    <cellStyle name="Note 3 5 3 2" xfId="3666" xr:uid="{00000000-0005-0000-0000-0000F1210000}"/>
    <cellStyle name="Note 3 5 3 2 2" xfId="7889" xr:uid="{00000000-0005-0000-0000-0000F2210000}"/>
    <cellStyle name="Note 3 5 3 2 2 2" xfId="16331" xr:uid="{C90F7937-21BC-45E1-94AD-BE3D2A7909FC}"/>
    <cellStyle name="Note 3 5 3 2 3" xfId="12113" xr:uid="{09FDFF2C-D9F4-4B3B-A57E-06F1DCB5A6A6}"/>
    <cellStyle name="Note 3 5 3 3" xfId="5744" xr:uid="{00000000-0005-0000-0000-0000F3210000}"/>
    <cellStyle name="Note 3 5 3 3 2" xfId="14186" xr:uid="{486CD056-9B92-492D-8E5D-6E481C3FE241}"/>
    <cellStyle name="Note 3 5 3 4" xfId="9968" xr:uid="{192F4302-CC24-4233-B655-E1C5992A04CD}"/>
    <cellStyle name="Note 3 5 4" xfId="1850" xr:uid="{00000000-0005-0000-0000-0000F4210000}"/>
    <cellStyle name="Note 3 5 4 2" xfId="4079" xr:uid="{00000000-0005-0000-0000-0000F5210000}"/>
    <cellStyle name="Note 3 5 4 2 2" xfId="8302" xr:uid="{00000000-0005-0000-0000-0000F6210000}"/>
    <cellStyle name="Note 3 5 4 2 2 2" xfId="16744" xr:uid="{CEC70A90-1934-4D95-8E29-F4FCECE8598B}"/>
    <cellStyle name="Note 3 5 4 2 3" xfId="12526" xr:uid="{A83A1533-8F08-4074-8003-7F187202FEA4}"/>
    <cellStyle name="Note 3 5 4 3" xfId="6157" xr:uid="{00000000-0005-0000-0000-0000F7210000}"/>
    <cellStyle name="Note 3 5 4 3 2" xfId="14599" xr:uid="{25FF1656-1464-49A4-8C53-AE5A1EA00180}"/>
    <cellStyle name="Note 3 5 4 4" xfId="10381" xr:uid="{65DD68CB-DC54-40A2-8BBA-E8B7B5ED285A}"/>
    <cellStyle name="Note 3 5 5" xfId="2263" xr:uid="{00000000-0005-0000-0000-0000F8210000}"/>
    <cellStyle name="Note 3 5 5 2" xfId="4492" xr:uid="{00000000-0005-0000-0000-0000F9210000}"/>
    <cellStyle name="Note 3 5 5 2 2" xfId="8715" xr:uid="{00000000-0005-0000-0000-0000FA210000}"/>
    <cellStyle name="Note 3 5 5 2 2 2" xfId="17157" xr:uid="{0F699985-411B-4F74-8D7D-D48AE87C85C6}"/>
    <cellStyle name="Note 3 5 5 2 3" xfId="12939" xr:uid="{D4B5623D-038A-4D72-9D3C-5C75D8F4E60A}"/>
    <cellStyle name="Note 3 5 5 3" xfId="6570" xr:uid="{00000000-0005-0000-0000-0000FB210000}"/>
    <cellStyle name="Note 3 5 5 3 2" xfId="15012" xr:uid="{8BCE374D-05F1-4F13-AED3-4EB043F183F1}"/>
    <cellStyle name="Note 3 5 5 4" xfId="10794" xr:uid="{4357162E-2D9F-46C3-88CE-EC1FE5247906}"/>
    <cellStyle name="Note 3 5 6" xfId="2699" xr:uid="{00000000-0005-0000-0000-0000FC210000}"/>
    <cellStyle name="Note 3 5 6 2" xfId="6983" xr:uid="{00000000-0005-0000-0000-0000FD210000}"/>
    <cellStyle name="Note 3 5 6 2 2" xfId="15425" xr:uid="{FBB71689-03B7-48A8-AFAF-1985558A72AB}"/>
    <cellStyle name="Note 3 5 6 3" xfId="11207" xr:uid="{494580C9-9DE4-4064-86F4-2A455575BF51}"/>
    <cellStyle name="Note 3 5 7" xfId="2758" xr:uid="{00000000-0005-0000-0000-0000FE210000}"/>
    <cellStyle name="Note 3 5 8" xfId="2839" xr:uid="{00000000-0005-0000-0000-0000FF210000}"/>
    <cellStyle name="Note 3 5 8 2" xfId="7063" xr:uid="{00000000-0005-0000-0000-000000220000}"/>
    <cellStyle name="Note 3 5 8 2 2" xfId="15505" xr:uid="{2DE5A533-94C0-4A94-A652-F09127A7AC02}"/>
    <cellStyle name="Note 3 5 8 3" xfId="11287" xr:uid="{93F93A07-B299-4CDE-A005-54A8C3BD3F18}"/>
    <cellStyle name="Note 3 5 9" xfId="4918" xr:uid="{00000000-0005-0000-0000-000001220000}"/>
    <cellStyle name="Note 3 5 9 2" xfId="13360" xr:uid="{3EC5BEF5-F8B8-4DA5-8039-6912284E8499}"/>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760AF772-40B3-46DB-B1CB-ED0F1EEFCC67}"/>
    <cellStyle name="Percent 4" xfId="4502" xr:uid="{00000000-0005-0000-0000-000007220000}"/>
    <cellStyle name="Percent 4 2" xfId="8718" xr:uid="{00000000-0005-0000-0000-000008220000}"/>
    <cellStyle name="Percent 4 2 2" xfId="17160" xr:uid="{67094CC1-4B5C-414E-BDFA-AC54B13C0E4A}"/>
    <cellStyle name="Percent 4 3" xfId="8721" xr:uid="{D09CD3FC-D632-4B66-A68A-5CC92F993799}"/>
    <cellStyle name="Percent 4 3 2" xfId="8725" xr:uid="{D57AE941-8E59-43F0-AB73-09B3BCCFA234}"/>
    <cellStyle name="Percent 4 3 2 2" xfId="8728" xr:uid="{D24D76A7-D076-4554-9944-551B122393DE}"/>
    <cellStyle name="Percent 4 3 2 2 2" xfId="17169" xr:uid="{10D7895B-9194-43BF-A9BF-D3837585561C}"/>
    <cellStyle name="Percent 4 3 2 3" xfId="17166" xr:uid="{69B9C2CD-6C32-4731-8D1B-24065B339FEB}"/>
    <cellStyle name="Percent 4 3 3" xfId="17163" xr:uid="{0946B5D8-BDC4-4904-81BD-5B5D92D882FD}"/>
    <cellStyle name="Percent 4 4" xfId="12946" xr:uid="{04A8F038-02D1-4B6E-BD29-3C05BF8DADD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22004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54" workbookViewId="0">
      <selection activeCell="AL3" sqref="A1:AL1048576"/>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6" t="s">
        <v>558</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8"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8"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6" t="s">
        <v>2346</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 customHeight="1">
      <c r="A11" s="218"/>
      <c r="B11" s="218"/>
      <c r="C11" s="219"/>
      <c r="D11" s="1266" t="s">
        <v>2347</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2"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2"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6" t="s">
        <v>2348</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2"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2" hidden="1" customHeight="1">
      <c r="A28" s="218"/>
      <c r="B28" s="218"/>
      <c r="C28" s="219"/>
      <c r="E28" s="1266" t="s">
        <v>2503</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2"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6" t="s">
        <v>2349</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2582</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2498</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2356</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2357</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2" customHeight="1">
      <c r="A42" s="4"/>
      <c r="B42"/>
      <c r="C42" s="2"/>
      <c r="D42" s="4"/>
      <c r="E42" s="4" t="s">
        <v>661</v>
      </c>
      <c r="F42" s="1266" t="s">
        <v>1270</v>
      </c>
    </row>
    <row r="43" spans="1:38" s="1266" customFormat="1" ht="13.2"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349</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2"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6" t="s">
        <v>2351</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696</v>
      </c>
      <c r="G56" s="1271" t="s">
        <v>1297</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2"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517</v>
      </c>
      <c r="G59" s="1271" t="s">
        <v>2352</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2" customHeight="1">
      <c r="A69" s="4"/>
      <c r="C69" s="2"/>
      <c r="D69" s="4"/>
      <c r="E69" s="4"/>
      <c r="F69" t="s">
        <v>517</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69" t="s">
        <v>1278</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1281</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2353</v>
      </c>
      <c r="F140" s="2"/>
      <c r="G140" s="2"/>
      <c r="H140" s="2"/>
    </row>
    <row r="141" spans="4:37">
      <c r="E141" t="s">
        <v>112</v>
      </c>
      <c r="F141" t="s">
        <v>52</v>
      </c>
    </row>
    <row r="142" spans="4:37">
      <c r="E142" t="s">
        <v>113</v>
      </c>
      <c r="F142" t="s">
        <v>474</v>
      </c>
    </row>
    <row r="143" spans="4:37"/>
    <row r="144" spans="4:37">
      <c r="D144" s="2" t="s">
        <v>430</v>
      </c>
      <c r="E144" s="2" t="s">
        <v>2354</v>
      </c>
    </row>
    <row r="145" spans="3:7">
      <c r="E145" s="218" t="s">
        <v>2355</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2" customHeight="1">
      <c r="B343" s="2"/>
      <c r="E343" s="1271" t="s">
        <v>1342</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4" t="s">
        <v>1333</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1368</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1379</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2"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6" zoomScaleNormal="100" workbookViewId="0">
      <selection activeCell="N46" sqref="N46:Q46"/>
    </sheetView>
  </sheetViews>
  <sheetFormatPr defaultColWidth="2.6640625" defaultRowHeight="15.75" customHeight="1"/>
  <cols>
    <col min="1" max="13" width="2.6640625" style="1200"/>
    <col min="14" max="14" width="4.6640625" style="1200" customWidth="1"/>
    <col min="15" max="37" width="2.6640625" style="1200"/>
    <col min="38" max="38" width="3" style="1200" customWidth="1"/>
    <col min="39" max="45" width="2.6640625" style="1200"/>
    <col min="46" max="46" width="4.6640625" style="1200" customWidth="1"/>
    <col min="47" max="64" width="2.6640625" style="1200"/>
    <col min="65" max="65" width="10.44140625" style="1200" hidden="1" customWidth="1"/>
    <col min="66" max="70" width="5.5546875" style="1200" bestFit="1" customWidth="1"/>
    <col min="71" max="71" width="6.109375" style="1200" bestFit="1" customWidth="1"/>
    <col min="72" max="76" width="5.5546875" style="1200" bestFit="1" customWidth="1"/>
    <col min="77" max="77" width="6.109375" style="1200" bestFit="1" customWidth="1"/>
    <col min="78" max="78" width="5.5546875" style="1200" bestFit="1" customWidth="1"/>
    <col min="79" max="16384" width="2.6640625" style="1200"/>
  </cols>
  <sheetData>
    <row r="1" spans="1:65" ht="15.75" customHeight="1">
      <c r="A1" s="2566" t="s">
        <v>2410</v>
      </c>
      <c r="B1" s="2567"/>
      <c r="C1" s="2567"/>
      <c r="D1" s="2567"/>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c r="AE1" s="2567"/>
      <c r="AF1" s="2567"/>
      <c r="AG1" s="2567"/>
      <c r="AH1" s="2567"/>
      <c r="AI1" s="2567"/>
      <c r="AJ1" s="2567"/>
      <c r="AK1" s="2567"/>
      <c r="AL1" s="2567"/>
      <c r="AM1" s="2567"/>
      <c r="AN1" s="2567"/>
      <c r="AO1" s="2567"/>
      <c r="AP1" s="2567"/>
      <c r="AQ1" s="2567"/>
      <c r="AR1" s="2567"/>
      <c r="AS1" s="2567"/>
      <c r="AT1" s="2567"/>
      <c r="AU1" s="2567"/>
      <c r="AV1" s="2567"/>
      <c r="AW1" s="2567"/>
      <c r="AX1" s="2567"/>
      <c r="AY1" s="2567"/>
      <c r="AZ1" s="2567"/>
      <c r="BA1" s="2567"/>
      <c r="BB1" s="2567"/>
      <c r="BC1" s="2567"/>
      <c r="BD1" s="2567"/>
      <c r="BE1" s="2568"/>
    </row>
    <row r="2" spans="1:65" ht="15.75" customHeight="1">
      <c r="A2" s="2569" t="s">
        <v>2457</v>
      </c>
      <c r="B2" s="2570"/>
      <c r="C2" s="2570"/>
      <c r="D2" s="2570"/>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2570"/>
      <c r="AZ2" s="2570"/>
      <c r="BA2" s="2570"/>
      <c r="BB2" s="2570"/>
      <c r="BC2" s="2570"/>
      <c r="BD2" s="2570"/>
      <c r="BE2" s="2571"/>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72" t="str">
        <f>IF(Application!H18="","",Application!H18)</f>
        <v>Citrus Flats</v>
      </c>
      <c r="M4" s="2573"/>
      <c r="N4" s="2573"/>
      <c r="O4" s="2573"/>
      <c r="P4" s="2573"/>
      <c r="Q4" s="2573"/>
      <c r="R4" s="2573"/>
      <c r="S4" s="2573"/>
      <c r="T4" s="2573"/>
      <c r="U4" s="2573"/>
      <c r="V4" s="2573"/>
      <c r="W4" s="2573"/>
      <c r="X4" s="2573"/>
      <c r="Y4" s="2573"/>
      <c r="Z4" s="2573"/>
      <c r="AA4" s="2573"/>
      <c r="AB4" s="2573"/>
      <c r="AC4" s="2574"/>
      <c r="AD4" s="1209"/>
      <c r="AE4" s="1209"/>
      <c r="AF4" s="2219" t="s">
        <v>2458</v>
      </c>
      <c r="AG4" s="2219"/>
      <c r="AH4" s="2219"/>
      <c r="AI4" s="2219"/>
      <c r="AJ4" s="2219"/>
      <c r="AK4" s="2219"/>
      <c r="AL4" s="2219"/>
      <c r="AM4" s="2219"/>
      <c r="AN4" s="2219"/>
      <c r="AO4" s="2219"/>
      <c r="AP4" s="2220"/>
      <c r="AQ4" s="2221"/>
      <c r="AR4" s="2221"/>
      <c r="AS4" s="2221"/>
      <c r="AT4" s="2221"/>
      <c r="AU4" s="2221"/>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9" t="s">
        <v>2459</v>
      </c>
      <c r="AG5" s="2219"/>
      <c r="AH5" s="2219"/>
      <c r="AI5" s="2219"/>
      <c r="AJ5" s="2219"/>
      <c r="AK5" s="2219"/>
      <c r="AL5" s="2219"/>
      <c r="AM5" s="2219"/>
      <c r="AN5" s="2219"/>
      <c r="AO5" s="2219"/>
      <c r="AP5" s="2220"/>
      <c r="AQ5" s="2221"/>
      <c r="AR5" s="2221"/>
      <c r="AS5" s="2221"/>
      <c r="AT5" s="2221"/>
      <c r="AU5" s="2221"/>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572" t="str">
        <f>IF(Application!H16="","",Application!H16)</f>
        <v>FLT Telegraph Partners, L.P.</v>
      </c>
      <c r="M6" s="2573"/>
      <c r="N6" s="2573"/>
      <c r="O6" s="2573"/>
      <c r="P6" s="2573"/>
      <c r="Q6" s="2573"/>
      <c r="R6" s="2573"/>
      <c r="S6" s="2573"/>
      <c r="T6" s="2573"/>
      <c r="U6" s="2573"/>
      <c r="V6" s="2573"/>
      <c r="W6" s="2573"/>
      <c r="X6" s="2573"/>
      <c r="Y6" s="2573"/>
      <c r="Z6" s="2573"/>
      <c r="AA6" s="2573"/>
      <c r="AB6" s="2573"/>
      <c r="AC6" s="2574"/>
      <c r="AD6" s="1209"/>
      <c r="AE6" s="1209"/>
      <c r="AF6" s="2575" t="s">
        <v>2460</v>
      </c>
      <c r="AG6" s="2575"/>
      <c r="AH6" s="2575"/>
      <c r="AI6" s="2575"/>
      <c r="AJ6" s="2575"/>
      <c r="AK6" s="2575"/>
      <c r="AL6" s="2575"/>
      <c r="AM6" s="2575"/>
      <c r="AN6" s="2575"/>
      <c r="AO6" s="2575"/>
      <c r="AP6" s="2565">
        <v>0</v>
      </c>
      <c r="AQ6" s="2565"/>
      <c r="AR6" s="2565"/>
      <c r="AS6" s="2565"/>
      <c r="AT6" s="2565"/>
      <c r="AU6" s="2565"/>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5" t="s">
        <v>2461</v>
      </c>
      <c r="AG7" s="2575"/>
      <c r="AH7" s="2575"/>
      <c r="AI7" s="2575"/>
      <c r="AJ7" s="2575"/>
      <c r="AK7" s="2575"/>
      <c r="AL7" s="2575"/>
      <c r="AM7" s="2575"/>
      <c r="AN7" s="2575"/>
      <c r="AO7" s="2575"/>
      <c r="AP7" s="2565">
        <v>0</v>
      </c>
      <c r="AQ7" s="2565"/>
      <c r="AR7" s="2565"/>
      <c r="AS7" s="2565"/>
      <c r="AT7" s="2565"/>
      <c r="AU7" s="2565"/>
      <c r="AV7" s="1209"/>
      <c r="AW7" s="1209"/>
      <c r="AX7" s="1209"/>
      <c r="AY7" s="1209"/>
      <c r="AZ7" s="1209"/>
      <c r="BA7" s="1209"/>
      <c r="BB7" s="1209"/>
      <c r="BC7" s="1209"/>
      <c r="BD7" s="1209"/>
      <c r="BE7" s="1219"/>
    </row>
    <row r="8" spans="1:65" ht="1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6" t="str">
        <f>Application!T197</f>
        <v>No</v>
      </c>
      <c r="AC8" s="2577"/>
      <c r="AD8" s="2578"/>
      <c r="AE8" s="1209"/>
      <c r="AF8" s="2575" t="s">
        <v>2462</v>
      </c>
      <c r="AG8" s="2575"/>
      <c r="AH8" s="2575"/>
      <c r="AI8" s="2575"/>
      <c r="AJ8" s="2575"/>
      <c r="AK8" s="2575"/>
      <c r="AL8" s="2575"/>
      <c r="AM8" s="2575"/>
      <c r="AN8" s="2575"/>
      <c r="AO8" s="2575"/>
      <c r="AP8" s="2565" t="s">
        <v>2414</v>
      </c>
      <c r="AQ8" s="2565"/>
      <c r="AR8" s="2565"/>
      <c r="AS8" s="2565"/>
      <c r="AT8" s="2565"/>
      <c r="AU8" s="2565"/>
      <c r="AV8" s="1209"/>
      <c r="AW8" s="1209"/>
      <c r="AX8" s="1209"/>
      <c r="AY8" s="1209"/>
      <c r="AZ8" s="1209"/>
      <c r="BA8" s="1209"/>
      <c r="BB8" s="1209"/>
      <c r="BC8" s="1209"/>
      <c r="BD8" s="1209"/>
      <c r="BE8" s="1219"/>
      <c r="BM8" s="1200" t="s">
        <v>2290</v>
      </c>
    </row>
    <row r="9" spans="1:65" ht="14.4">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9" t="s">
        <v>2622</v>
      </c>
      <c r="AG9" s="2219"/>
      <c r="AH9" s="2219"/>
      <c r="AI9" s="2219"/>
      <c r="AJ9" s="2219"/>
      <c r="AK9" s="2219"/>
      <c r="AL9" s="2219"/>
      <c r="AM9" s="2219"/>
      <c r="AN9" s="2219"/>
      <c r="AO9" s="2219"/>
      <c r="AP9" s="2220"/>
      <c r="AQ9" s="2221"/>
      <c r="AR9" s="2221"/>
      <c r="AS9" s="2221"/>
      <c r="AT9" s="2221"/>
      <c r="AU9" s="2221"/>
      <c r="AV9" s="1209"/>
      <c r="AW9" s="1209"/>
      <c r="AX9" s="1209"/>
      <c r="AY9" s="1209"/>
      <c r="AZ9" s="1209"/>
      <c r="BA9" s="1209"/>
      <c r="BB9" s="1209"/>
      <c r="BC9" s="1209"/>
      <c r="BD9" s="1209"/>
      <c r="BE9" s="1219"/>
      <c r="BM9" s="1200" t="s">
        <v>2463</v>
      </c>
    </row>
    <row r="10" spans="1:65" ht="14.4">
      <c r="A10" s="1215"/>
      <c r="B10" s="1217" t="s">
        <v>1792</v>
      </c>
      <c r="C10" s="1217"/>
      <c r="D10" s="1217"/>
      <c r="E10" s="1217"/>
      <c r="F10" s="1217"/>
      <c r="G10" s="1217"/>
      <c r="H10" s="1217"/>
      <c r="I10" s="1217"/>
      <c r="J10" s="1217"/>
      <c r="K10" s="1217"/>
      <c r="L10" s="1217"/>
      <c r="M10" s="1209"/>
      <c r="N10" s="2547">
        <f>Application!AO627</f>
        <v>28300000</v>
      </c>
      <c r="O10" s="2547"/>
      <c r="P10" s="2547"/>
      <c r="Q10" s="2547"/>
      <c r="R10" s="2547"/>
      <c r="S10" s="2547"/>
      <c r="T10" s="2547"/>
      <c r="U10" s="1209"/>
      <c r="V10" s="1209"/>
      <c r="W10" s="1209"/>
      <c r="X10" s="1258"/>
      <c r="Y10" s="1258"/>
      <c r="Z10" s="1258"/>
      <c r="AA10" s="1258"/>
      <c r="AB10" s="1258"/>
      <c r="AC10" s="1258"/>
      <c r="AD10" s="1258"/>
      <c r="AE10" s="1258"/>
      <c r="AF10" s="2219" t="s">
        <v>2621</v>
      </c>
      <c r="AG10" s="2219"/>
      <c r="AH10" s="2219"/>
      <c r="AI10" s="2219"/>
      <c r="AJ10" s="2219"/>
      <c r="AK10" s="2219"/>
      <c r="AL10" s="2219"/>
      <c r="AM10" s="2219"/>
      <c r="AN10" s="2219"/>
      <c r="AO10" s="2219"/>
      <c r="AP10" s="2220"/>
      <c r="AQ10" s="2221"/>
      <c r="AR10" s="2221"/>
      <c r="AS10" s="2221"/>
      <c r="AT10" s="2221"/>
      <c r="AU10" s="2221"/>
      <c r="AV10" s="1258"/>
      <c r="AW10" s="1258"/>
      <c r="AX10" s="1209"/>
      <c r="AY10" s="1209"/>
      <c r="AZ10" s="1209"/>
      <c r="BA10" s="1209"/>
      <c r="BB10" s="1209"/>
      <c r="BC10" s="1209"/>
      <c r="BD10" s="1209"/>
      <c r="BE10" s="1219"/>
      <c r="BM10" s="1200" t="s">
        <v>2465</v>
      </c>
    </row>
    <row r="11" spans="1:65" ht="14.4">
      <c r="A11" s="1215"/>
      <c r="B11" s="1217" t="s">
        <v>1793</v>
      </c>
      <c r="C11" s="1217"/>
      <c r="D11" s="1217"/>
      <c r="E11" s="1217"/>
      <c r="F11" s="1217"/>
      <c r="G11" s="1217"/>
      <c r="H11" s="1217"/>
      <c r="I11" s="1217"/>
      <c r="J11" s="1217"/>
      <c r="K11" s="1217"/>
      <c r="L11" s="1217"/>
      <c r="M11" s="1209"/>
      <c r="N11" s="2547">
        <f>Application!AA933</f>
        <v>0</v>
      </c>
      <c r="O11" s="2547"/>
      <c r="P11" s="2547"/>
      <c r="Q11" s="2547"/>
      <c r="R11" s="2547"/>
      <c r="S11" s="2547"/>
      <c r="T11" s="2547"/>
      <c r="U11" s="1209"/>
      <c r="V11" s="1209"/>
      <c r="W11" s="1209"/>
      <c r="X11" s="1258"/>
      <c r="Y11" s="1258"/>
      <c r="Z11" s="1258"/>
      <c r="AA11" s="1258"/>
      <c r="AB11" s="1258"/>
      <c r="AC11" s="1258"/>
      <c r="AD11" s="1258"/>
      <c r="AE11" s="1258"/>
      <c r="AF11" s="2219" t="s">
        <v>2620</v>
      </c>
      <c r="AG11" s="2219"/>
      <c r="AH11" s="2219"/>
      <c r="AI11" s="2219"/>
      <c r="AJ11" s="2219"/>
      <c r="AK11" s="2219"/>
      <c r="AL11" s="2219"/>
      <c r="AM11" s="2219"/>
      <c r="AN11" s="2219"/>
      <c r="AO11" s="2219"/>
      <c r="AP11" s="2220"/>
      <c r="AQ11" s="2221"/>
      <c r="AR11" s="2221"/>
      <c r="AS11" s="2221"/>
      <c r="AT11" s="2221"/>
      <c r="AU11" s="2221"/>
      <c r="AV11" s="1258"/>
      <c r="AW11" s="1258"/>
      <c r="AX11" s="1209"/>
      <c r="AY11" s="1209"/>
      <c r="AZ11" s="1209"/>
      <c r="BA11" s="1209"/>
      <c r="BB11" s="1209"/>
      <c r="BC11" s="1209"/>
      <c r="BD11" s="1209"/>
      <c r="BE11" s="1219"/>
      <c r="BM11" s="1200" t="s">
        <v>2414</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2468</v>
      </c>
    </row>
    <row r="13" spans="1:65" ht="15" thickBot="1">
      <c r="A13" s="1209"/>
      <c r="B13" s="2554" t="s">
        <v>1794</v>
      </c>
      <c r="C13" s="2555"/>
      <c r="D13" s="2555"/>
      <c r="E13" s="2555"/>
      <c r="F13" s="2555"/>
      <c r="G13" s="2555"/>
      <c r="H13" s="2555"/>
      <c r="I13" s="2555"/>
      <c r="J13" s="2555"/>
      <c r="K13" s="2555"/>
      <c r="L13" s="2555"/>
      <c r="M13" s="2555"/>
      <c r="N13" s="2555"/>
      <c r="O13" s="2555"/>
      <c r="P13" s="2556"/>
      <c r="Q13" s="2557" t="s">
        <v>677</v>
      </c>
      <c r="R13" s="2558"/>
      <c r="S13" s="2558"/>
      <c r="T13" s="2559"/>
      <c r="U13" s="1258"/>
      <c r="V13" s="1209"/>
      <c r="W13" s="1209"/>
      <c r="X13" s="1209"/>
      <c r="Y13" s="1209"/>
      <c r="Z13" s="1209"/>
      <c r="AA13" s="2548" t="s">
        <v>2464</v>
      </c>
      <c r="AB13" s="2548"/>
      <c r="AC13" s="2548"/>
      <c r="AD13" s="2548"/>
      <c r="AE13" s="2548"/>
      <c r="AF13" s="2548"/>
      <c r="AG13" s="2548"/>
      <c r="AH13" s="2548"/>
      <c r="AI13" s="2548"/>
      <c r="AJ13" s="2548"/>
      <c r="AK13" s="2548"/>
      <c r="AL13" s="2548"/>
      <c r="AM13" s="2548"/>
      <c r="AN13" s="2548"/>
      <c r="AO13" s="2549">
        <f>Application!W473</f>
        <v>0</v>
      </c>
      <c r="AP13" s="2550"/>
      <c r="AQ13" s="2550"/>
      <c r="AR13" s="2550"/>
      <c r="AS13" s="2550"/>
      <c r="AT13" s="1258"/>
      <c r="AU13" s="1258"/>
      <c r="AV13" s="1258"/>
      <c r="AW13" s="1258"/>
      <c r="AX13" s="1258"/>
      <c r="AY13" s="1258"/>
      <c r="AZ13" s="1258"/>
      <c r="BA13" s="1258"/>
      <c r="BB13" s="1258"/>
      <c r="BC13" s="1258"/>
      <c r="BD13" s="1258"/>
      <c r="BE13" s="1205"/>
      <c r="BM13" s="1200" t="s">
        <v>2469</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1" t="s">
        <v>2466</v>
      </c>
      <c r="AB14" s="2551"/>
      <c r="AC14" s="2551"/>
      <c r="AD14" s="2551"/>
      <c r="AE14" s="2551"/>
      <c r="AF14" s="2551"/>
      <c r="AG14" s="2551"/>
      <c r="AH14" s="2551"/>
      <c r="AI14" s="2551"/>
      <c r="AJ14" s="2551"/>
      <c r="AK14" s="2551"/>
      <c r="AL14" s="2551"/>
      <c r="AM14" s="2551"/>
      <c r="AN14" s="2551"/>
      <c r="AO14" s="2552"/>
      <c r="AP14" s="2553"/>
      <c r="AQ14" s="2553"/>
      <c r="AR14" s="2553"/>
      <c r="AS14" s="2553"/>
      <c r="AT14" s="1258"/>
      <c r="AU14" s="1258"/>
      <c r="AV14" s="1258"/>
      <c r="AW14" s="1258"/>
      <c r="AX14" s="1258"/>
      <c r="AY14" s="1258"/>
      <c r="AZ14" s="1258"/>
      <c r="BA14" s="1258"/>
      <c r="BB14" s="1258"/>
      <c r="BC14" s="1258"/>
      <c r="BD14" s="1258"/>
      <c r="BE14" s="1205"/>
    </row>
    <row r="15" spans="1:65" ht="15" thickBot="1">
      <c r="A15" s="1209"/>
      <c r="B15" s="2560" t="s">
        <v>1795</v>
      </c>
      <c r="C15" s="2561"/>
      <c r="D15" s="2561"/>
      <c r="E15" s="2561"/>
      <c r="F15" s="2561"/>
      <c r="G15" s="2561"/>
      <c r="H15" s="2561"/>
      <c r="I15" s="2561"/>
      <c r="J15" s="2561"/>
      <c r="K15" s="2561"/>
      <c r="L15" s="2561"/>
      <c r="M15" s="2561"/>
      <c r="N15" s="2561"/>
      <c r="O15" s="2561"/>
      <c r="P15" s="2561"/>
      <c r="Q15" s="2561"/>
      <c r="R15" s="2562"/>
      <c r="S15" s="2563" t="str">
        <f>IF(Application!AB214="","",Application!AB214)</f>
        <v/>
      </c>
      <c r="T15" s="2563"/>
      <c r="U15" s="2563"/>
      <c r="V15" s="2563"/>
      <c r="W15" s="2564"/>
      <c r="X15" s="1258"/>
      <c r="Y15" s="1209"/>
      <c r="Z15" s="1209"/>
      <c r="AA15" s="2548" t="s">
        <v>2467</v>
      </c>
      <c r="AB15" s="2548"/>
      <c r="AC15" s="2548"/>
      <c r="AD15" s="2548"/>
      <c r="AE15" s="2548"/>
      <c r="AF15" s="2548"/>
      <c r="AG15" s="2548"/>
      <c r="AH15" s="2548"/>
      <c r="AI15" s="2548"/>
      <c r="AJ15" s="2548"/>
      <c r="AK15" s="2548"/>
      <c r="AL15" s="2548"/>
      <c r="AM15" s="2548"/>
      <c r="AN15" s="2548"/>
      <c r="AO15" s="2552"/>
      <c r="AP15" s="2553"/>
      <c r="AQ15" s="2553"/>
      <c r="AR15" s="2553"/>
      <c r="AS15" s="2553"/>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4">
      <c r="A17" s="1209"/>
      <c r="B17" s="2428" t="s">
        <v>1796</v>
      </c>
      <c r="C17" s="2429"/>
      <c r="D17" s="2429"/>
      <c r="E17" s="2429"/>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c r="AS17" s="2429"/>
      <c r="AT17" s="2429"/>
      <c r="AU17" s="2429"/>
      <c r="AV17" s="2429"/>
      <c r="AW17" s="2429"/>
      <c r="AX17" s="2429"/>
      <c r="AY17" s="2430"/>
      <c r="AZ17" s="1209"/>
      <c r="BA17" s="1209"/>
      <c r="BB17" s="1209"/>
      <c r="BC17" s="1209"/>
      <c r="BD17" s="1209"/>
      <c r="BE17" s="1205"/>
      <c r="BF17" s="1201"/>
    </row>
    <row r="18" spans="1:58" ht="15.75" customHeight="1">
      <c r="A18" s="1209"/>
      <c r="B18" s="2540" t="s">
        <v>1797</v>
      </c>
      <c r="C18" s="2541"/>
      <c r="D18" s="2541"/>
      <c r="E18" s="2541"/>
      <c r="F18" s="2541"/>
      <c r="G18" s="2541"/>
      <c r="H18" s="2541"/>
      <c r="I18" s="2542"/>
      <c r="J18" s="2543" t="s">
        <v>1698</v>
      </c>
      <c r="K18" s="2544"/>
      <c r="L18" s="2544"/>
      <c r="M18" s="2544"/>
      <c r="N18" s="2544"/>
      <c r="O18" s="2545"/>
      <c r="P18" s="2543" t="s">
        <v>325</v>
      </c>
      <c r="Q18" s="2544"/>
      <c r="R18" s="2544"/>
      <c r="S18" s="2544"/>
      <c r="T18" s="2544"/>
      <c r="U18" s="2545"/>
      <c r="V18" s="2543" t="s">
        <v>326</v>
      </c>
      <c r="W18" s="2544"/>
      <c r="X18" s="2544"/>
      <c r="Y18" s="2544"/>
      <c r="Z18" s="2544"/>
      <c r="AA18" s="2545"/>
      <c r="AB18" s="2543" t="s">
        <v>163</v>
      </c>
      <c r="AC18" s="2544"/>
      <c r="AD18" s="2544"/>
      <c r="AE18" s="2544"/>
      <c r="AF18" s="2544"/>
      <c r="AG18" s="2545"/>
      <c r="AH18" s="2543" t="s">
        <v>164</v>
      </c>
      <c r="AI18" s="2544"/>
      <c r="AJ18" s="2544"/>
      <c r="AK18" s="2544"/>
      <c r="AL18" s="2544"/>
      <c r="AM18" s="2545"/>
      <c r="AN18" s="2543" t="s">
        <v>165</v>
      </c>
      <c r="AO18" s="2544"/>
      <c r="AP18" s="2544"/>
      <c r="AQ18" s="2544"/>
      <c r="AR18" s="2544"/>
      <c r="AS18" s="2545"/>
      <c r="AT18" s="2543" t="s">
        <v>1798</v>
      </c>
      <c r="AU18" s="2544"/>
      <c r="AV18" s="2544"/>
      <c r="AW18" s="2544"/>
      <c r="AX18" s="2544"/>
      <c r="AY18" s="2546"/>
      <c r="AZ18" s="1209"/>
      <c r="BA18" s="1209"/>
      <c r="BB18" s="1209"/>
      <c r="BC18" s="1209"/>
      <c r="BD18" s="1209"/>
      <c r="BE18" s="1205"/>
    </row>
    <row r="19" spans="1:58" ht="14.4">
      <c r="A19" s="1209"/>
      <c r="B19" s="2517">
        <v>0.3</v>
      </c>
      <c r="C19" s="2518"/>
      <c r="D19" s="2518"/>
      <c r="E19" s="2518"/>
      <c r="F19" s="2518"/>
      <c r="G19" s="2518"/>
      <c r="H19" s="2518"/>
      <c r="I19" s="2519"/>
      <c r="J19" s="2520">
        <f t="shared" ref="J19:J28" si="0">SUM(P19:AS19)</f>
        <v>18</v>
      </c>
      <c r="K19" s="2521"/>
      <c r="L19" s="2521"/>
      <c r="M19" s="2521"/>
      <c r="N19" s="2521"/>
      <c r="O19" s="2522"/>
      <c r="P19" s="2520" cm="1">
        <f t="array" ref="P19">SUMPRODUCT((Application!$B$718:$B$752 = 'CalHFA Addendum'!P$18)*(Application!$AC$718:$AC$752 = 'CalHFA Addendum'!$B19),Application!$G$718:$G$752)</f>
        <v>0</v>
      </c>
      <c r="Q19" s="2521"/>
      <c r="R19" s="2521"/>
      <c r="S19" s="2521"/>
      <c r="T19" s="2521"/>
      <c r="U19" s="2522"/>
      <c r="V19" s="2520" cm="1">
        <f t="array" ref="V19">SUMPRODUCT((Application!$B$714:$B$738 = 'CalHFA Addendum'!V$18)*(Application!$AC$714:$AC$738 = 'CalHFA Addendum'!$B19),Application!$G$714:$G$738)</f>
        <v>6</v>
      </c>
      <c r="W19" s="2521"/>
      <c r="X19" s="2521"/>
      <c r="Y19" s="2521"/>
      <c r="Z19" s="2521"/>
      <c r="AA19" s="2522"/>
      <c r="AB19" s="2520" cm="1">
        <f t="array" ref="AB19">SUMPRODUCT((Application!$B$714:$B$738 = 'CalHFA Addendum'!AB$18)*(Application!$AC$714:$AC$738 = 'CalHFA Addendum'!$B19),Application!$G$714:$G$738)</f>
        <v>4</v>
      </c>
      <c r="AC19" s="2521"/>
      <c r="AD19" s="2521"/>
      <c r="AE19" s="2521"/>
      <c r="AF19" s="2521"/>
      <c r="AG19" s="2522"/>
      <c r="AH19" s="2520" cm="1">
        <f t="array" ref="AH19">SUMPRODUCT((Application!$B$714:$B$738 = 'CalHFA Addendum'!AH$18)*(Application!$AC$714:$AC$738 = 'CalHFA Addendum'!$B19),Application!$G$714:$G$738)</f>
        <v>6</v>
      </c>
      <c r="AI19" s="2521"/>
      <c r="AJ19" s="2521"/>
      <c r="AK19" s="2521"/>
      <c r="AL19" s="2521"/>
      <c r="AM19" s="2522"/>
      <c r="AN19" s="2520" cm="1">
        <f t="array" ref="AN19">SUMPRODUCT((Application!$B$714:$B$738 = 'CalHFA Addendum'!AN$18)*(Application!$AC$714:$AC$738 = 'CalHFA Addendum'!$B19),Application!$G$714:$G$738)</f>
        <v>2</v>
      </c>
      <c r="AO19" s="2521"/>
      <c r="AP19" s="2521"/>
      <c r="AQ19" s="2521"/>
      <c r="AR19" s="2521"/>
      <c r="AS19" s="2522"/>
      <c r="AT19" s="2523">
        <f t="shared" ref="AT19:AT29" si="1">J19/$J$29</f>
        <v>0.11842105263157894</v>
      </c>
      <c r="AU19" s="2524"/>
      <c r="AV19" s="2524"/>
      <c r="AW19" s="2524"/>
      <c r="AX19" s="2524"/>
      <c r="AY19" s="2525"/>
      <c r="AZ19" s="1220"/>
      <c r="BA19" s="1209"/>
      <c r="BB19" s="1209"/>
      <c r="BC19" s="1209"/>
      <c r="BD19" s="1209"/>
      <c r="BE19" s="1205"/>
    </row>
    <row r="20" spans="1:58" ht="15" customHeight="1">
      <c r="A20" s="1209"/>
      <c r="B20" s="2517">
        <v>0.4</v>
      </c>
      <c r="C20" s="2518"/>
      <c r="D20" s="2518"/>
      <c r="E20" s="2518"/>
      <c r="F20" s="2518"/>
      <c r="G20" s="2518"/>
      <c r="H20" s="2518"/>
      <c r="I20" s="2519"/>
      <c r="J20" s="2520">
        <f t="shared" si="0"/>
        <v>18</v>
      </c>
      <c r="K20" s="2521"/>
      <c r="L20" s="2521"/>
      <c r="M20" s="2521"/>
      <c r="N20" s="2521"/>
      <c r="O20" s="2522"/>
      <c r="P20" s="2520" cm="1">
        <f t="array" ref="P20">SUMPRODUCT((Application!$B$718:$B$752 = 'CalHFA Addendum'!P$18)*(Application!$AC$718:$AC$752 = 'CalHFA Addendum'!$B20),Application!$G$718:$G$752)</f>
        <v>0</v>
      </c>
      <c r="Q20" s="2521"/>
      <c r="R20" s="2521"/>
      <c r="S20" s="2521"/>
      <c r="T20" s="2521"/>
      <c r="U20" s="2522"/>
      <c r="V20" s="2520" cm="1">
        <f t="array" ref="V20">SUMPRODUCT((Application!$B$714:$B$738 = 'CalHFA Addendum'!V$18)*(Application!$AC$714:$AC$738 = 'CalHFA Addendum'!$B20),Application!$G$714:$G$738)</f>
        <v>6</v>
      </c>
      <c r="W20" s="2521"/>
      <c r="X20" s="2521"/>
      <c r="Y20" s="2521"/>
      <c r="Z20" s="2521"/>
      <c r="AA20" s="2522"/>
      <c r="AB20" s="2520" cm="1">
        <f t="array" ref="AB20">SUMPRODUCT((Application!$B$714:$B$738 = 'CalHFA Addendum'!AB$18)*(Application!$AC$714:$AC$738 = 'CalHFA Addendum'!$B20),Application!$G$714:$G$738)</f>
        <v>4</v>
      </c>
      <c r="AC20" s="2521"/>
      <c r="AD20" s="2521"/>
      <c r="AE20" s="2521"/>
      <c r="AF20" s="2521"/>
      <c r="AG20" s="2522"/>
      <c r="AH20" s="2520" cm="1">
        <f t="array" ref="AH20">SUMPRODUCT((Application!$B$714:$B$738 = 'CalHFA Addendum'!AH$18)*(Application!$AC$714:$AC$738 = 'CalHFA Addendum'!$B20),Application!$G$714:$G$738)</f>
        <v>6</v>
      </c>
      <c r="AI20" s="2521"/>
      <c r="AJ20" s="2521"/>
      <c r="AK20" s="2521"/>
      <c r="AL20" s="2521"/>
      <c r="AM20" s="2522"/>
      <c r="AN20" s="2520" cm="1">
        <f t="array" ref="AN20">SUMPRODUCT((Application!$B$714:$B$738 = 'CalHFA Addendum'!AN$18)*(Application!$AC$714:$AC$738 = 'CalHFA Addendum'!$B20),Application!$G$714:$G$738)</f>
        <v>2</v>
      </c>
      <c r="AO20" s="2521"/>
      <c r="AP20" s="2521"/>
      <c r="AQ20" s="2521"/>
      <c r="AR20" s="2521"/>
      <c r="AS20" s="2522"/>
      <c r="AT20" s="2523">
        <f t="shared" si="1"/>
        <v>0.11842105263157894</v>
      </c>
      <c r="AU20" s="2524"/>
      <c r="AV20" s="2524"/>
      <c r="AW20" s="2524"/>
      <c r="AX20" s="2524"/>
      <c r="AY20" s="2525"/>
      <c r="AZ20" s="1209"/>
      <c r="BA20" s="1209"/>
      <c r="BB20" s="1209"/>
      <c r="BC20" s="1209"/>
      <c r="BD20" s="1209"/>
      <c r="BE20" s="1205"/>
    </row>
    <row r="21" spans="1:58" ht="14.4">
      <c r="A21" s="1209"/>
      <c r="B21" s="2517">
        <v>0.5</v>
      </c>
      <c r="C21" s="2518"/>
      <c r="D21" s="2518"/>
      <c r="E21" s="2518"/>
      <c r="F21" s="2518"/>
      <c r="G21" s="2518"/>
      <c r="H21" s="2518"/>
      <c r="I21" s="2519"/>
      <c r="J21" s="2520">
        <f t="shared" si="0"/>
        <v>18</v>
      </c>
      <c r="K21" s="2521"/>
      <c r="L21" s="2521"/>
      <c r="M21" s="2521"/>
      <c r="N21" s="2521"/>
      <c r="O21" s="2522"/>
      <c r="P21" s="2520" cm="1">
        <f t="array" ref="P21">SUMPRODUCT((Application!$B$714:$B$738 = 'CalHFA Addendum'!P$18)*(Application!$AC$714:$AC$738 = 'CalHFA Addendum'!$B21),Application!$G$714:$G$738)</f>
        <v>0</v>
      </c>
      <c r="Q21" s="2521"/>
      <c r="R21" s="2521"/>
      <c r="S21" s="2521"/>
      <c r="T21" s="2521"/>
      <c r="U21" s="2522"/>
      <c r="V21" s="2520" cm="1">
        <f t="array" ref="V21">SUMPRODUCT((Application!$B$714:$B$738 = 'CalHFA Addendum'!V$18)*(Application!$AC$714:$AC$738 = 'CalHFA Addendum'!$B21),Application!$G$714:$G$738)</f>
        <v>6</v>
      </c>
      <c r="W21" s="2521"/>
      <c r="X21" s="2521"/>
      <c r="Y21" s="2521"/>
      <c r="Z21" s="2521"/>
      <c r="AA21" s="2522"/>
      <c r="AB21" s="2520" cm="1">
        <f t="array" ref="AB21">SUMPRODUCT((Application!$B$714:$B$738 = 'CalHFA Addendum'!AB$18)*(Application!$AC$714:$AC$738 = 'CalHFA Addendum'!$B21),Application!$G$714:$G$738)</f>
        <v>4</v>
      </c>
      <c r="AC21" s="2521"/>
      <c r="AD21" s="2521"/>
      <c r="AE21" s="2521"/>
      <c r="AF21" s="2521"/>
      <c r="AG21" s="2522"/>
      <c r="AH21" s="2520" cm="1">
        <f t="array" ref="AH21">SUMPRODUCT((Application!$B$714:$B$738 = 'CalHFA Addendum'!AH$18)*(Application!$AC$714:$AC$738 = 'CalHFA Addendum'!$B21),Application!$G$714:$G$738)</f>
        <v>6</v>
      </c>
      <c r="AI21" s="2521"/>
      <c r="AJ21" s="2521"/>
      <c r="AK21" s="2521"/>
      <c r="AL21" s="2521"/>
      <c r="AM21" s="2522"/>
      <c r="AN21" s="2520" cm="1">
        <f t="array" ref="AN21">SUMPRODUCT((Application!$B$714:$B$738 = 'CalHFA Addendum'!AN$18)*(Application!$AC$714:$AC$738 = 'CalHFA Addendum'!$B21),Application!$G$714:$G$738)</f>
        <v>2</v>
      </c>
      <c r="AO21" s="2521"/>
      <c r="AP21" s="2521"/>
      <c r="AQ21" s="2521"/>
      <c r="AR21" s="2521"/>
      <c r="AS21" s="2522"/>
      <c r="AT21" s="2523">
        <f t="shared" si="1"/>
        <v>0.11842105263157894</v>
      </c>
      <c r="AU21" s="2524"/>
      <c r="AV21" s="2524"/>
      <c r="AW21" s="2524"/>
      <c r="AX21" s="2524"/>
      <c r="AY21" s="2525"/>
      <c r="AZ21" s="1209"/>
      <c r="BA21" s="1209"/>
      <c r="BB21" s="1209"/>
      <c r="BC21" s="1209"/>
      <c r="BD21" s="1209"/>
      <c r="BE21" s="1205"/>
    </row>
    <row r="22" spans="1:58" ht="14.4">
      <c r="A22" s="1209"/>
      <c r="B22" s="2517">
        <v>0.6</v>
      </c>
      <c r="C22" s="2518"/>
      <c r="D22" s="2518"/>
      <c r="E22" s="2518"/>
      <c r="F22" s="2518"/>
      <c r="G22" s="2518"/>
      <c r="H22" s="2518"/>
      <c r="I22" s="2519"/>
      <c r="J22" s="2520">
        <f t="shared" si="0"/>
        <v>16</v>
      </c>
      <c r="K22" s="2521"/>
      <c r="L22" s="2521"/>
      <c r="M22" s="2521"/>
      <c r="N22" s="2521"/>
      <c r="O22" s="2522"/>
      <c r="P22" s="2520" cm="1">
        <f t="array" ref="P22">SUMPRODUCT((Application!$B$714:$B$738 = 'CalHFA Addendum'!P$18)*(Application!$AC$714:$AC$738 = 'CalHFA Addendum'!$B22),Application!$G$714:$G$738)</f>
        <v>0</v>
      </c>
      <c r="Q22" s="2521"/>
      <c r="R22" s="2521"/>
      <c r="S22" s="2521"/>
      <c r="T22" s="2521"/>
      <c r="U22" s="2522"/>
      <c r="V22" s="2520" cm="1">
        <f t="array" ref="V22">SUMPRODUCT((Application!$B$714:$B$738 = 'CalHFA Addendum'!V$18)*(Application!$AC$714:$AC$738 = 'CalHFA Addendum'!$B22),Application!$G$714:$G$738)</f>
        <v>6</v>
      </c>
      <c r="W22" s="2521"/>
      <c r="X22" s="2521"/>
      <c r="Y22" s="2521"/>
      <c r="Z22" s="2521"/>
      <c r="AA22" s="2522"/>
      <c r="AB22" s="2520" cm="1">
        <f t="array" ref="AB22">SUMPRODUCT((Application!$B$714:$B$738 = 'CalHFA Addendum'!AB$18)*(Application!$AC$714:$AC$738 = 'CalHFA Addendum'!$B22),Application!$G$714:$G$738)</f>
        <v>4</v>
      </c>
      <c r="AC22" s="2521"/>
      <c r="AD22" s="2521"/>
      <c r="AE22" s="2521"/>
      <c r="AF22" s="2521"/>
      <c r="AG22" s="2522"/>
      <c r="AH22" s="2520" cm="1">
        <f t="array" ref="AH22">SUMPRODUCT((Application!$B$714:$B$738 = 'CalHFA Addendum'!AH$18)*(Application!$AC$714:$AC$738 = 'CalHFA Addendum'!$B22),Application!$G$714:$G$738)</f>
        <v>6</v>
      </c>
      <c r="AI22" s="2521"/>
      <c r="AJ22" s="2521"/>
      <c r="AK22" s="2521"/>
      <c r="AL22" s="2521"/>
      <c r="AM22" s="2522"/>
      <c r="AN22" s="2520" cm="1">
        <f t="array" ref="AN22">SUMPRODUCT((Application!$B$714:$B$738 = 'CalHFA Addendum'!AN$18)*(Application!$AC$714:$AC$738 = 'CalHFA Addendum'!$B22),Application!$G$714:$G$738)</f>
        <v>0</v>
      </c>
      <c r="AO22" s="2521"/>
      <c r="AP22" s="2521"/>
      <c r="AQ22" s="2521"/>
      <c r="AR22" s="2521"/>
      <c r="AS22" s="2522"/>
      <c r="AT22" s="2523">
        <f t="shared" si="1"/>
        <v>0.10526315789473684</v>
      </c>
      <c r="AU22" s="2524"/>
      <c r="AV22" s="2524"/>
      <c r="AW22" s="2524"/>
      <c r="AX22" s="2524"/>
      <c r="AY22" s="2525"/>
      <c r="AZ22" s="1209"/>
      <c r="BA22" s="1209"/>
      <c r="BB22" s="1209"/>
      <c r="BC22" s="1209"/>
      <c r="BD22" s="1209"/>
      <c r="BE22" s="1205"/>
    </row>
    <row r="23" spans="1:58" ht="14.4">
      <c r="A23" s="1209"/>
      <c r="B23" s="2517">
        <v>0.7</v>
      </c>
      <c r="C23" s="2518"/>
      <c r="D23" s="2518"/>
      <c r="E23" s="2518"/>
      <c r="F23" s="2518"/>
      <c r="G23" s="2518"/>
      <c r="H23" s="2518"/>
      <c r="I23" s="2519"/>
      <c r="J23" s="2520">
        <f t="shared" si="0"/>
        <v>82</v>
      </c>
      <c r="K23" s="2521"/>
      <c r="L23" s="2521"/>
      <c r="M23" s="2521"/>
      <c r="N23" s="2521"/>
      <c r="O23" s="2522"/>
      <c r="P23" s="2520" cm="1">
        <f t="array" ref="P23">SUMPRODUCT((Application!$B$714:$B$738 = 'CalHFA Addendum'!P$18)*(Application!$AC$714:$AC$738 = 'CalHFA Addendum'!$B23),Application!$G$714:$G$738)</f>
        <v>0</v>
      </c>
      <c r="Q23" s="2521"/>
      <c r="R23" s="2521"/>
      <c r="S23" s="2521"/>
      <c r="T23" s="2521"/>
      <c r="U23" s="2522"/>
      <c r="V23" s="2520" cm="1">
        <f t="array" ref="V23">SUMPRODUCT((Application!$B$714:$B$738 = 'CalHFA Addendum'!V$18)*(Application!$AC$714:$AC$738 = 'CalHFA Addendum'!$B23),Application!$G$714:$G$738)</f>
        <v>36</v>
      </c>
      <c r="W23" s="2521"/>
      <c r="X23" s="2521"/>
      <c r="Y23" s="2521"/>
      <c r="Z23" s="2521"/>
      <c r="AA23" s="2522"/>
      <c r="AB23" s="2520" cm="1">
        <f t="array" ref="AB23">SUMPRODUCT((Application!$B$714:$B$738 = 'CalHFA Addendum'!AB$18)*(Application!$AC$714:$AC$738 = 'CalHFA Addendum'!$B23),Application!$G$714:$G$738)</f>
        <v>15</v>
      </c>
      <c r="AC23" s="2521"/>
      <c r="AD23" s="2521"/>
      <c r="AE23" s="2521"/>
      <c r="AF23" s="2521"/>
      <c r="AG23" s="2522"/>
      <c r="AH23" s="2520" cm="1">
        <f t="array" ref="AH23">SUMPRODUCT((Application!$B$714:$B$738 = 'CalHFA Addendum'!AH$18)*(Application!$AC$714:$AC$738 = 'CalHFA Addendum'!$B23),Application!$G$714:$G$738)</f>
        <v>31</v>
      </c>
      <c r="AI23" s="2521"/>
      <c r="AJ23" s="2521"/>
      <c r="AK23" s="2521"/>
      <c r="AL23" s="2521"/>
      <c r="AM23" s="2522"/>
      <c r="AN23" s="2520" cm="1">
        <f t="array" ref="AN23">SUMPRODUCT((Application!$B$714:$B$738 = 'CalHFA Addendum'!AN$18)*(Application!$AC$714:$AC$738 = 'CalHFA Addendum'!$B23),Application!$G$714:$G$738)</f>
        <v>0</v>
      </c>
      <c r="AO23" s="2521"/>
      <c r="AP23" s="2521"/>
      <c r="AQ23" s="2521"/>
      <c r="AR23" s="2521"/>
      <c r="AS23" s="2522"/>
      <c r="AT23" s="2523">
        <f t="shared" si="1"/>
        <v>0.53947368421052633</v>
      </c>
      <c r="AU23" s="2524"/>
      <c r="AV23" s="2524"/>
      <c r="AW23" s="2524"/>
      <c r="AX23" s="2524"/>
      <c r="AY23" s="2525"/>
      <c r="AZ23" s="1209"/>
      <c r="BA23" s="1209"/>
      <c r="BB23" s="1209"/>
      <c r="BC23" s="1209"/>
      <c r="BD23" s="1209"/>
      <c r="BE23" s="1205"/>
    </row>
    <row r="24" spans="1:58" ht="14.4">
      <c r="A24" s="1209"/>
      <c r="B24" s="2517">
        <v>0.8</v>
      </c>
      <c r="C24" s="2518"/>
      <c r="D24" s="2518"/>
      <c r="E24" s="2518"/>
      <c r="F24" s="2518"/>
      <c r="G24" s="2518"/>
      <c r="H24" s="2518"/>
      <c r="I24" s="2519"/>
      <c r="J24" s="2520">
        <f t="shared" si="0"/>
        <v>0</v>
      </c>
      <c r="K24" s="2521"/>
      <c r="L24" s="2521"/>
      <c r="M24" s="2521"/>
      <c r="N24" s="2521"/>
      <c r="O24" s="2522"/>
      <c r="P24" s="2520" cm="1">
        <f t="array" ref="P24">SUMPRODUCT((Application!$B$714:$B$738 = 'CalHFA Addendum'!P$18)*(Application!$AC$714:$AC$738 = 'CalHFA Addendum'!$B24),Application!$G$714:$G$738)</f>
        <v>0</v>
      </c>
      <c r="Q24" s="2521"/>
      <c r="R24" s="2521"/>
      <c r="S24" s="2521"/>
      <c r="T24" s="2521"/>
      <c r="U24" s="2522"/>
      <c r="V24" s="2520" cm="1">
        <f t="array" ref="V24">SUMPRODUCT((Application!$B$714:$B$738 = 'CalHFA Addendum'!V$18)*(Application!$AC$714:$AC$738 = 'CalHFA Addendum'!$B24),Application!$G$714:$G$738)</f>
        <v>0</v>
      </c>
      <c r="W24" s="2521"/>
      <c r="X24" s="2521"/>
      <c r="Y24" s="2521"/>
      <c r="Z24" s="2521"/>
      <c r="AA24" s="2522"/>
      <c r="AB24" s="2520" cm="1">
        <f t="array" ref="AB24">SUMPRODUCT((Application!$B$714:$B$738 = 'CalHFA Addendum'!AB$18)*(Application!$AC$714:$AC$738 = 'CalHFA Addendum'!$B24),Application!$G$714:$G$738)</f>
        <v>0</v>
      </c>
      <c r="AC24" s="2521"/>
      <c r="AD24" s="2521"/>
      <c r="AE24" s="2521"/>
      <c r="AF24" s="2521"/>
      <c r="AG24" s="2522"/>
      <c r="AH24" s="2520" cm="1">
        <f t="array" ref="AH24">SUMPRODUCT((Application!$B$714:$B$738 = 'CalHFA Addendum'!AH$18)*(Application!$AC$714:$AC$738 = 'CalHFA Addendum'!$B24),Application!$G$714:$G$738)</f>
        <v>0</v>
      </c>
      <c r="AI24" s="2521"/>
      <c r="AJ24" s="2521"/>
      <c r="AK24" s="2521"/>
      <c r="AL24" s="2521"/>
      <c r="AM24" s="2522"/>
      <c r="AN24" s="2520" cm="1">
        <f t="array" ref="AN24">SUMPRODUCT((Application!$B$714:$B$738 = 'CalHFA Addendum'!AN$18)*(Application!$AC$714:$AC$738 = 'CalHFA Addendum'!$B24),Application!$G$714:$G$738)</f>
        <v>0</v>
      </c>
      <c r="AO24" s="2521"/>
      <c r="AP24" s="2521"/>
      <c r="AQ24" s="2521"/>
      <c r="AR24" s="2521"/>
      <c r="AS24" s="2522"/>
      <c r="AT24" s="2523">
        <f t="shared" si="1"/>
        <v>0</v>
      </c>
      <c r="AU24" s="2524"/>
      <c r="AV24" s="2524"/>
      <c r="AW24" s="2524"/>
      <c r="AX24" s="2524"/>
      <c r="AY24" s="2525"/>
      <c r="AZ24" s="1209"/>
      <c r="BA24" s="1209"/>
      <c r="BB24" s="1209"/>
      <c r="BC24" s="1209"/>
      <c r="BD24" s="1209"/>
      <c r="BE24" s="1205"/>
    </row>
    <row r="25" spans="1:58" ht="14.4">
      <c r="A25" s="1209"/>
      <c r="B25" s="2517">
        <v>0.9</v>
      </c>
      <c r="C25" s="2518"/>
      <c r="D25" s="2518"/>
      <c r="E25" s="2518"/>
      <c r="F25" s="2518"/>
      <c r="G25" s="2518"/>
      <c r="H25" s="2518"/>
      <c r="I25" s="2519"/>
      <c r="J25" s="2520">
        <f t="shared" si="0"/>
        <v>0</v>
      </c>
      <c r="K25" s="2521"/>
      <c r="L25" s="2521"/>
      <c r="M25" s="2521"/>
      <c r="N25" s="2521"/>
      <c r="O25" s="2522"/>
      <c r="P25" s="2520" cm="1">
        <f t="array" ref="P25">SUMPRODUCT((Application!$B$714:$B$738 = 'CalHFA Addendum'!P$18)*(Application!$AC$714:$AC$738 = 'CalHFA Addendum'!$B25),Application!$G$714:$G$738)</f>
        <v>0</v>
      </c>
      <c r="Q25" s="2521"/>
      <c r="R25" s="2521"/>
      <c r="S25" s="2521"/>
      <c r="T25" s="2521"/>
      <c r="U25" s="2522"/>
      <c r="V25" s="2520" cm="1">
        <f t="array" ref="V25">SUMPRODUCT((Application!$B$714:$B$738 = 'CalHFA Addendum'!V$18)*(Application!$AC$714:$AC$738 = 'CalHFA Addendum'!$B25),Application!$G$714:$G$738)</f>
        <v>0</v>
      </c>
      <c r="W25" s="2521"/>
      <c r="X25" s="2521"/>
      <c r="Y25" s="2521"/>
      <c r="Z25" s="2521"/>
      <c r="AA25" s="2522"/>
      <c r="AB25" s="2520" cm="1">
        <f t="array" ref="AB25">SUMPRODUCT((Application!$B$714:$B$738 = 'CalHFA Addendum'!AB$18)*(Application!$AC$714:$AC$738 = 'CalHFA Addendum'!$B25),Application!$G$714:$G$738)</f>
        <v>0</v>
      </c>
      <c r="AC25" s="2521"/>
      <c r="AD25" s="2521"/>
      <c r="AE25" s="2521"/>
      <c r="AF25" s="2521"/>
      <c r="AG25" s="2522"/>
      <c r="AH25" s="2520" cm="1">
        <f t="array" ref="AH25">SUMPRODUCT((Application!$B$714:$B$738 = 'CalHFA Addendum'!AH$18)*(Application!$AC$714:$AC$738 = 'CalHFA Addendum'!$B25),Application!$G$714:$G$738)</f>
        <v>0</v>
      </c>
      <c r="AI25" s="2521"/>
      <c r="AJ25" s="2521"/>
      <c r="AK25" s="2521"/>
      <c r="AL25" s="2521"/>
      <c r="AM25" s="2522"/>
      <c r="AN25" s="2520" cm="1">
        <f t="array" ref="AN25">SUMPRODUCT((Application!$B$714:$B$738 = 'CalHFA Addendum'!AN$18)*(Application!$AC$714:$AC$738 = 'CalHFA Addendum'!$B25),Application!$G$714:$G$738)</f>
        <v>0</v>
      </c>
      <c r="AO25" s="2521"/>
      <c r="AP25" s="2521"/>
      <c r="AQ25" s="2521"/>
      <c r="AR25" s="2521"/>
      <c r="AS25" s="2522"/>
      <c r="AT25" s="2523">
        <f t="shared" si="1"/>
        <v>0</v>
      </c>
      <c r="AU25" s="2524"/>
      <c r="AV25" s="2524"/>
      <c r="AW25" s="2524"/>
      <c r="AX25" s="2524"/>
      <c r="AY25" s="2525"/>
      <c r="AZ25" s="1209"/>
      <c r="BA25" s="1209"/>
      <c r="BB25" s="1209"/>
      <c r="BC25" s="1209"/>
      <c r="BD25" s="1209"/>
      <c r="BE25" s="1205"/>
    </row>
    <row r="26" spans="1:58" ht="14.4">
      <c r="A26" s="1209"/>
      <c r="B26" s="2517">
        <v>1</v>
      </c>
      <c r="C26" s="2518"/>
      <c r="D26" s="2518"/>
      <c r="E26" s="2518"/>
      <c r="F26" s="2518"/>
      <c r="G26" s="2518"/>
      <c r="H26" s="2518"/>
      <c r="I26" s="2519"/>
      <c r="J26" s="2520">
        <f t="shared" si="0"/>
        <v>0</v>
      </c>
      <c r="K26" s="2521"/>
      <c r="L26" s="2521"/>
      <c r="M26" s="2521"/>
      <c r="N26" s="2521"/>
      <c r="O26" s="2522"/>
      <c r="P26" s="2520" cm="1">
        <f t="array" ref="P26">SUMPRODUCT((Application!$B$714:$B$738 = 'CalHFA Addendum'!P$18)*(Application!$AC$714:$AC$738 = 'CalHFA Addendum'!$B26),Application!$G$714:$G$738)</f>
        <v>0</v>
      </c>
      <c r="Q26" s="2521"/>
      <c r="R26" s="2521"/>
      <c r="S26" s="2521"/>
      <c r="T26" s="2521"/>
      <c r="U26" s="2522"/>
      <c r="V26" s="2520" cm="1">
        <f t="array" ref="V26">SUMPRODUCT((Application!$B$714:$B$738 = 'CalHFA Addendum'!V$18)*(Application!$AC$714:$AC$738 = 'CalHFA Addendum'!$B26),Application!$G$714:$G$738)</f>
        <v>0</v>
      </c>
      <c r="W26" s="2521"/>
      <c r="X26" s="2521"/>
      <c r="Y26" s="2521"/>
      <c r="Z26" s="2521"/>
      <c r="AA26" s="2522"/>
      <c r="AB26" s="2520" cm="1">
        <f t="array" ref="AB26">SUMPRODUCT((Application!$B$714:$B$738 = 'CalHFA Addendum'!AB$18)*(Application!$AC$714:$AC$738 = 'CalHFA Addendum'!$B26),Application!$G$714:$G$738)</f>
        <v>0</v>
      </c>
      <c r="AC26" s="2521"/>
      <c r="AD26" s="2521"/>
      <c r="AE26" s="2521"/>
      <c r="AF26" s="2521"/>
      <c r="AG26" s="2522"/>
      <c r="AH26" s="2520" cm="1">
        <f t="array" ref="AH26">SUMPRODUCT((Application!$B$714:$B$738 = 'CalHFA Addendum'!AH$18)*(Application!$AC$714:$AC$738 = 'CalHFA Addendum'!$B26),Application!$G$714:$G$738)</f>
        <v>0</v>
      </c>
      <c r="AI26" s="2521"/>
      <c r="AJ26" s="2521"/>
      <c r="AK26" s="2521"/>
      <c r="AL26" s="2521"/>
      <c r="AM26" s="2522"/>
      <c r="AN26" s="2520" cm="1">
        <f t="array" ref="AN26">SUMPRODUCT((Application!$B$714:$B$738 = 'CalHFA Addendum'!AN$18)*(Application!$AC$714:$AC$738 = 'CalHFA Addendum'!$B26),Application!$G$714:$G$738)</f>
        <v>0</v>
      </c>
      <c r="AO26" s="2521"/>
      <c r="AP26" s="2521"/>
      <c r="AQ26" s="2521"/>
      <c r="AR26" s="2521"/>
      <c r="AS26" s="2522"/>
      <c r="AT26" s="2523">
        <f t="shared" si="1"/>
        <v>0</v>
      </c>
      <c r="AU26" s="2524"/>
      <c r="AV26" s="2524"/>
      <c r="AW26" s="2524"/>
      <c r="AX26" s="2524"/>
      <c r="AY26" s="2525"/>
      <c r="AZ26" s="1209"/>
      <c r="BA26" s="1209"/>
      <c r="BB26" s="1209"/>
      <c r="BC26" s="1209"/>
      <c r="BD26" s="1209"/>
      <c r="BE26" s="1205"/>
    </row>
    <row r="27" spans="1:58" ht="14.4">
      <c r="A27" s="1209"/>
      <c r="B27" s="2517">
        <v>1.1000000000000001</v>
      </c>
      <c r="C27" s="2518"/>
      <c r="D27" s="2518"/>
      <c r="E27" s="2518"/>
      <c r="F27" s="2518"/>
      <c r="G27" s="2518"/>
      <c r="H27" s="2518"/>
      <c r="I27" s="2519"/>
      <c r="J27" s="2520">
        <f t="shared" si="0"/>
        <v>0</v>
      </c>
      <c r="K27" s="2521"/>
      <c r="L27" s="2521"/>
      <c r="M27" s="2521"/>
      <c r="N27" s="2521"/>
      <c r="O27" s="2522"/>
      <c r="P27" s="2520" cm="1">
        <f t="array" ref="P27">SUMPRODUCT((Application!$B$714:$B$738 = 'CalHFA Addendum'!P$18)*(Application!$AC$714:$AC$738 = 'CalHFA Addendum'!$B27),Application!$G$714:$G$738)</f>
        <v>0</v>
      </c>
      <c r="Q27" s="2521"/>
      <c r="R27" s="2521"/>
      <c r="S27" s="2521"/>
      <c r="T27" s="2521"/>
      <c r="U27" s="2522"/>
      <c r="V27" s="2520" cm="1">
        <f t="array" ref="V27">SUMPRODUCT((Application!$B$714:$B$738 = 'CalHFA Addendum'!V$18)*(Application!$AC$714:$AC$738 = 'CalHFA Addendum'!$B27),Application!$G$714:$G$738)</f>
        <v>0</v>
      </c>
      <c r="W27" s="2521"/>
      <c r="X27" s="2521"/>
      <c r="Y27" s="2521"/>
      <c r="Z27" s="2521"/>
      <c r="AA27" s="2522"/>
      <c r="AB27" s="2520" cm="1">
        <f t="array" ref="AB27">SUMPRODUCT((Application!$B$714:$B$738 = 'CalHFA Addendum'!AB$18)*(Application!$AC$714:$AC$738 = 'CalHFA Addendum'!$B27),Application!$G$714:$G$738)</f>
        <v>0</v>
      </c>
      <c r="AC27" s="2521"/>
      <c r="AD27" s="2521"/>
      <c r="AE27" s="2521"/>
      <c r="AF27" s="2521"/>
      <c r="AG27" s="2522"/>
      <c r="AH27" s="2520" cm="1">
        <f t="array" ref="AH27">SUMPRODUCT((Application!$B$714:$B$738 = 'CalHFA Addendum'!AH$18)*(Application!$AC$714:$AC$738 = 'CalHFA Addendum'!$B27),Application!$G$714:$G$738)</f>
        <v>0</v>
      </c>
      <c r="AI27" s="2521"/>
      <c r="AJ27" s="2521"/>
      <c r="AK27" s="2521"/>
      <c r="AL27" s="2521"/>
      <c r="AM27" s="2522"/>
      <c r="AN27" s="2520" cm="1">
        <f t="array" ref="AN27">SUMPRODUCT((Application!$B$714:$B$738 = 'CalHFA Addendum'!AN$18)*(Application!$AC$714:$AC$738 = 'CalHFA Addendum'!$B27),Application!$G$714:$G$738)</f>
        <v>0</v>
      </c>
      <c r="AO27" s="2521"/>
      <c r="AP27" s="2521"/>
      <c r="AQ27" s="2521"/>
      <c r="AR27" s="2521"/>
      <c r="AS27" s="2522"/>
      <c r="AT27" s="2523">
        <f t="shared" si="1"/>
        <v>0</v>
      </c>
      <c r="AU27" s="2524"/>
      <c r="AV27" s="2524"/>
      <c r="AW27" s="2524"/>
      <c r="AX27" s="2524"/>
      <c r="AY27" s="2525"/>
      <c r="AZ27" s="1209"/>
      <c r="BA27" s="1209"/>
      <c r="BB27" s="1209"/>
      <c r="BC27" s="1209"/>
      <c r="BD27" s="1209"/>
      <c r="BE27" s="1205"/>
    </row>
    <row r="28" spans="1:58" ht="15" thickBot="1">
      <c r="A28" s="1209"/>
      <c r="B28" s="2526" t="s">
        <v>1799</v>
      </c>
      <c r="C28" s="2527"/>
      <c r="D28" s="2527"/>
      <c r="E28" s="2527"/>
      <c r="F28" s="2527"/>
      <c r="G28" s="2527"/>
      <c r="H28" s="2527"/>
      <c r="I28" s="2528"/>
      <c r="J28" s="2529">
        <f t="shared" si="0"/>
        <v>0</v>
      </c>
      <c r="K28" s="2530"/>
      <c r="L28" s="2530"/>
      <c r="M28" s="2530"/>
      <c r="N28" s="2530"/>
      <c r="O28" s="2531"/>
      <c r="P28" s="2529">
        <f>_xlfn.IFNA(VLOOKUP(P$18,Application!$J$758:$S$761,6,FALSE), 0)</f>
        <v>0</v>
      </c>
      <c r="Q28" s="2530"/>
      <c r="R28" s="2530"/>
      <c r="S28" s="2530"/>
      <c r="T28" s="2530"/>
      <c r="U28" s="2531"/>
      <c r="V28" s="2529">
        <f>_xlfn.IFNA(VLOOKUP(V$18,Application!$J$758:$S$761,6,FALSE), 0)</f>
        <v>0</v>
      </c>
      <c r="W28" s="2530"/>
      <c r="X28" s="2530"/>
      <c r="Y28" s="2530"/>
      <c r="Z28" s="2530"/>
      <c r="AA28" s="2531"/>
      <c r="AB28" s="2529">
        <f>_xlfn.IFNA(VLOOKUP(AB$18,Application!$J$758:$S$761,6,FALSE), 0)</f>
        <v>0</v>
      </c>
      <c r="AC28" s="2530"/>
      <c r="AD28" s="2530"/>
      <c r="AE28" s="2530"/>
      <c r="AF28" s="2530"/>
      <c r="AG28" s="2531"/>
      <c r="AH28" s="2529">
        <f>_xlfn.IFNA(VLOOKUP(AH$18,Application!$J$758:$S$761,6,FALSE), 0)</f>
        <v>0</v>
      </c>
      <c r="AI28" s="2530"/>
      <c r="AJ28" s="2530"/>
      <c r="AK28" s="2530"/>
      <c r="AL28" s="2530"/>
      <c r="AM28" s="2531"/>
      <c r="AN28" s="2529">
        <f>_xlfn.IFNA(VLOOKUP(AN$18,Application!$J$758:$S$761,6,FALSE), 0)</f>
        <v>0</v>
      </c>
      <c r="AO28" s="2530"/>
      <c r="AP28" s="2530"/>
      <c r="AQ28" s="2530"/>
      <c r="AR28" s="2530"/>
      <c r="AS28" s="2531"/>
      <c r="AT28" s="2532">
        <f t="shared" si="1"/>
        <v>0</v>
      </c>
      <c r="AU28" s="2533"/>
      <c r="AV28" s="2533"/>
      <c r="AW28" s="2533"/>
      <c r="AX28" s="2533"/>
      <c r="AY28" s="2534"/>
      <c r="AZ28" s="1209"/>
      <c r="BA28" s="1209"/>
      <c r="BB28" s="1209"/>
      <c r="BC28" s="1209"/>
      <c r="BD28" s="1209"/>
      <c r="BE28" s="1205"/>
    </row>
    <row r="29" spans="1:58" ht="15" thickBot="1">
      <c r="A29" s="1209"/>
      <c r="B29" s="2506" t="s">
        <v>1698</v>
      </c>
      <c r="C29" s="2484"/>
      <c r="D29" s="2484"/>
      <c r="E29" s="2484"/>
      <c r="F29" s="2484"/>
      <c r="G29" s="2484"/>
      <c r="H29" s="2484"/>
      <c r="I29" s="2485"/>
      <c r="J29" s="2483">
        <f>SUM(J19:O28)</f>
        <v>152</v>
      </c>
      <c r="K29" s="2484"/>
      <c r="L29" s="2484"/>
      <c r="M29" s="2484"/>
      <c r="N29" s="2484"/>
      <c r="O29" s="2485"/>
      <c r="P29" s="2483">
        <f>SUM(P19:U28)</f>
        <v>0</v>
      </c>
      <c r="Q29" s="2484"/>
      <c r="R29" s="2484"/>
      <c r="S29" s="2484"/>
      <c r="T29" s="2484"/>
      <c r="U29" s="2485"/>
      <c r="V29" s="2483">
        <f>SUM(V19:AA28)</f>
        <v>60</v>
      </c>
      <c r="W29" s="2484"/>
      <c r="X29" s="2484"/>
      <c r="Y29" s="2484"/>
      <c r="Z29" s="2484"/>
      <c r="AA29" s="2485"/>
      <c r="AB29" s="2483">
        <f>SUM(AB19:AG28)</f>
        <v>31</v>
      </c>
      <c r="AC29" s="2484"/>
      <c r="AD29" s="2484"/>
      <c r="AE29" s="2484"/>
      <c r="AF29" s="2484"/>
      <c r="AG29" s="2485"/>
      <c r="AH29" s="2483">
        <f>SUM(AH19:AM28)</f>
        <v>55</v>
      </c>
      <c r="AI29" s="2484"/>
      <c r="AJ29" s="2484"/>
      <c r="AK29" s="2484"/>
      <c r="AL29" s="2484"/>
      <c r="AM29" s="2485"/>
      <c r="AN29" s="2483">
        <f>SUM(AN19:AS28)</f>
        <v>6</v>
      </c>
      <c r="AO29" s="2484"/>
      <c r="AP29" s="2484"/>
      <c r="AQ29" s="2484"/>
      <c r="AR29" s="2484"/>
      <c r="AS29" s="2485"/>
      <c r="AT29" s="2499">
        <f t="shared" si="1"/>
        <v>1</v>
      </c>
      <c r="AU29" s="2500"/>
      <c r="AV29" s="2500"/>
      <c r="AW29" s="2500"/>
      <c r="AX29" s="2500"/>
      <c r="AY29" s="2501"/>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487" t="s">
        <v>1800</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2488"/>
      <c r="AO31" s="2488"/>
      <c r="AP31" s="2488"/>
      <c r="AQ31" s="2488"/>
      <c r="AR31" s="2488"/>
      <c r="AS31" s="2488"/>
      <c r="AT31" s="2488"/>
      <c r="AU31" s="2488"/>
      <c r="AV31" s="2488"/>
      <c r="AW31" s="2488"/>
      <c r="AX31" s="2488"/>
      <c r="AY31" s="2488"/>
      <c r="AZ31" s="2488"/>
      <c r="BA31" s="2488"/>
      <c r="BB31" s="2488"/>
      <c r="BC31" s="2488"/>
      <c r="BD31" s="2489"/>
      <c r="BE31" s="1205"/>
    </row>
    <row r="32" spans="1:58" ht="15" thickBot="1">
      <c r="A32" s="1209"/>
      <c r="B32" s="2502" t="s">
        <v>2470</v>
      </c>
      <c r="C32" s="2503"/>
      <c r="D32" s="2503"/>
      <c r="E32" s="2503"/>
      <c r="F32" s="2503"/>
      <c r="G32" s="2503"/>
      <c r="H32" s="2503"/>
      <c r="I32" s="2503"/>
      <c r="J32" s="2535" t="s">
        <v>2471</v>
      </c>
      <c r="K32" s="2536"/>
      <c r="L32" s="2536"/>
      <c r="M32" s="2536"/>
      <c r="N32" s="2535" t="s">
        <v>1801</v>
      </c>
      <c r="O32" s="2536"/>
      <c r="P32" s="2536"/>
      <c r="Q32" s="2538"/>
      <c r="R32" s="2496" t="s">
        <v>1802</v>
      </c>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2497"/>
      <c r="AT32" s="2497"/>
      <c r="AU32" s="2497"/>
      <c r="AV32" s="2497"/>
      <c r="AW32" s="2497"/>
      <c r="AX32" s="2497"/>
      <c r="AY32" s="2497"/>
      <c r="AZ32" s="2497"/>
      <c r="BA32" s="2497"/>
      <c r="BB32" s="2497"/>
      <c r="BC32" s="2497"/>
      <c r="BD32" s="2498"/>
      <c r="BE32" s="1205"/>
    </row>
    <row r="33" spans="1:58" ht="15" customHeight="1">
      <c r="A33" s="1209"/>
      <c r="B33" s="2504"/>
      <c r="C33" s="2505"/>
      <c r="D33" s="2505"/>
      <c r="E33" s="2505"/>
      <c r="F33" s="2505"/>
      <c r="G33" s="2505"/>
      <c r="H33" s="2505"/>
      <c r="I33" s="2505"/>
      <c r="J33" s="2537"/>
      <c r="K33" s="2537"/>
      <c r="L33" s="2537"/>
      <c r="M33" s="2537"/>
      <c r="N33" s="2537"/>
      <c r="O33" s="2537"/>
      <c r="P33" s="2537"/>
      <c r="Q33" s="2539"/>
      <c r="R33" s="2490" t="s">
        <v>1803</v>
      </c>
      <c r="S33" s="2491"/>
      <c r="T33" s="2491"/>
      <c r="U33" s="2491"/>
      <c r="V33" s="2491"/>
      <c r="W33" s="2491"/>
      <c r="X33" s="2491"/>
      <c r="Y33" s="2491"/>
      <c r="Z33" s="2491"/>
      <c r="AA33" s="2491"/>
      <c r="AB33" s="2491"/>
      <c r="AC33" s="2491"/>
      <c r="AD33" s="2491"/>
      <c r="AE33" s="2491"/>
      <c r="AF33" s="2491"/>
      <c r="AG33" s="2491"/>
      <c r="AH33" s="2491"/>
      <c r="AI33" s="2491"/>
      <c r="AJ33" s="2491"/>
      <c r="AK33" s="2491"/>
      <c r="AL33" s="2491"/>
      <c r="AM33" s="2491"/>
      <c r="AN33" s="2491"/>
      <c r="AO33" s="2491"/>
      <c r="AP33" s="2491"/>
      <c r="AQ33" s="2491"/>
      <c r="AR33" s="2491"/>
      <c r="AS33" s="2491"/>
      <c r="AT33" s="2491"/>
      <c r="AU33" s="2491"/>
      <c r="AV33" s="2491"/>
      <c r="AW33" s="2491"/>
      <c r="AX33" s="2491"/>
      <c r="AY33" s="2491"/>
      <c r="AZ33" s="2491"/>
      <c r="BA33" s="2491"/>
      <c r="BB33" s="2491"/>
      <c r="BC33" s="2491"/>
      <c r="BD33" s="2492"/>
      <c r="BE33" s="1205"/>
    </row>
    <row r="34" spans="1:58" ht="15.75" customHeight="1" thickBot="1">
      <c r="A34" s="1209"/>
      <c r="B34" s="2504"/>
      <c r="C34" s="2505"/>
      <c r="D34" s="2505"/>
      <c r="E34" s="2505"/>
      <c r="F34" s="2505"/>
      <c r="G34" s="2505"/>
      <c r="H34" s="2505"/>
      <c r="I34" s="2505"/>
      <c r="J34" s="2537"/>
      <c r="K34" s="2537"/>
      <c r="L34" s="2537"/>
      <c r="M34" s="2537"/>
      <c r="N34" s="2537"/>
      <c r="O34" s="2537"/>
      <c r="P34" s="2537"/>
      <c r="Q34" s="2539"/>
      <c r="R34" s="2493"/>
      <c r="S34" s="2494"/>
      <c r="T34" s="2494"/>
      <c r="U34" s="2494"/>
      <c r="V34" s="2494"/>
      <c r="W34" s="2494"/>
      <c r="X34" s="2494"/>
      <c r="Y34" s="2494"/>
      <c r="Z34" s="2494"/>
      <c r="AA34" s="2494"/>
      <c r="AB34" s="2494"/>
      <c r="AC34" s="2494"/>
      <c r="AD34" s="2494"/>
      <c r="AE34" s="2494"/>
      <c r="AF34" s="2494"/>
      <c r="AG34" s="2494"/>
      <c r="AH34" s="2494"/>
      <c r="AI34" s="2494"/>
      <c r="AJ34" s="2494"/>
      <c r="AK34" s="2494"/>
      <c r="AL34" s="2494"/>
      <c r="AM34" s="2494"/>
      <c r="AN34" s="2494"/>
      <c r="AO34" s="2494"/>
      <c r="AP34" s="2494"/>
      <c r="AQ34" s="2494"/>
      <c r="AR34" s="2494"/>
      <c r="AS34" s="2494"/>
      <c r="AT34" s="2494"/>
      <c r="AU34" s="2494"/>
      <c r="AV34" s="2494"/>
      <c r="AW34" s="2494"/>
      <c r="AX34" s="2494"/>
      <c r="AY34" s="2494"/>
      <c r="AZ34" s="2494"/>
      <c r="BA34" s="2494"/>
      <c r="BB34" s="2494"/>
      <c r="BC34" s="2494"/>
      <c r="BD34" s="2495"/>
      <c r="BE34" s="1205"/>
    </row>
    <row r="35" spans="1:58" ht="15.75" customHeight="1">
      <c r="A35" s="1209"/>
      <c r="B35" s="2504"/>
      <c r="C35" s="2505"/>
      <c r="D35" s="2505"/>
      <c r="E35" s="2505"/>
      <c r="F35" s="2505"/>
      <c r="G35" s="2505"/>
      <c r="H35" s="2505"/>
      <c r="I35" s="2505"/>
      <c r="J35" s="2537"/>
      <c r="K35" s="2537"/>
      <c r="L35" s="2537"/>
      <c r="M35" s="2537"/>
      <c r="N35" s="2537"/>
      <c r="O35" s="2537"/>
      <c r="P35" s="2537"/>
      <c r="Q35" s="2537"/>
      <c r="R35" s="2486">
        <v>0.3</v>
      </c>
      <c r="S35" s="2486"/>
      <c r="T35" s="2486"/>
      <c r="U35" s="2486"/>
      <c r="V35" s="2486">
        <v>0.4</v>
      </c>
      <c r="W35" s="2486"/>
      <c r="X35" s="2486"/>
      <c r="Y35" s="2486"/>
      <c r="Z35" s="2486">
        <v>0.5</v>
      </c>
      <c r="AA35" s="2486"/>
      <c r="AB35" s="2486"/>
      <c r="AC35" s="2486"/>
      <c r="AD35" s="2486">
        <v>0.6</v>
      </c>
      <c r="AE35" s="2486"/>
      <c r="AF35" s="2486"/>
      <c r="AG35" s="2486"/>
      <c r="AH35" s="2486">
        <v>0.7</v>
      </c>
      <c r="AI35" s="2486"/>
      <c r="AJ35" s="2486"/>
      <c r="AK35" s="2486"/>
      <c r="AL35" s="2507">
        <v>0.8</v>
      </c>
      <c r="AM35" s="2508"/>
      <c r="AN35" s="2508"/>
      <c r="AO35" s="2509"/>
      <c r="AP35" s="2510">
        <v>1.2</v>
      </c>
      <c r="AQ35" s="2511"/>
      <c r="AR35" s="2512"/>
      <c r="AS35" s="2513" t="s">
        <v>1804</v>
      </c>
      <c r="AT35" s="2514"/>
      <c r="AU35" s="2514"/>
      <c r="AV35" s="2514"/>
      <c r="AW35" s="2514"/>
      <c r="AX35" s="2515"/>
      <c r="AY35" s="2513" t="s">
        <v>1805</v>
      </c>
      <c r="AZ35" s="2514"/>
      <c r="BA35" s="2514"/>
      <c r="BB35" s="2514"/>
      <c r="BC35" s="2514"/>
      <c r="BD35" s="2516"/>
      <c r="BE35" s="1205"/>
    </row>
    <row r="36" spans="1:58" ht="15.75" customHeight="1">
      <c r="A36" s="1209"/>
      <c r="B36" s="2244" t="s">
        <v>1806</v>
      </c>
      <c r="C36" s="2245"/>
      <c r="D36" s="2245"/>
      <c r="E36" s="2245"/>
      <c r="F36" s="2245"/>
      <c r="G36" s="2245"/>
      <c r="H36" s="2245"/>
      <c r="I36" s="2245"/>
      <c r="J36" s="2476"/>
      <c r="K36" s="2476"/>
      <c r="L36" s="2476"/>
      <c r="M36" s="2476"/>
      <c r="N36" s="2476"/>
      <c r="O36" s="2476"/>
      <c r="P36" s="2476"/>
      <c r="Q36" s="2476"/>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23"/>
      <c r="AM36" s="2224"/>
      <c r="AN36" s="2224"/>
      <c r="AO36" s="2225"/>
      <c r="AP36" s="2223"/>
      <c r="AQ36" s="2224"/>
      <c r="AR36" s="2225"/>
      <c r="AS36" s="2226">
        <f t="shared" ref="AS36:AS47" si="2">SUM(R36:AR36)</f>
        <v>0</v>
      </c>
      <c r="AT36" s="2227"/>
      <c r="AU36" s="2227"/>
      <c r="AV36" s="2227"/>
      <c r="AW36" s="2227"/>
      <c r="AX36" s="2228"/>
      <c r="AY36" s="2480">
        <f t="shared" ref="AY36:AY47" si="3">AS36/$J$29</f>
        <v>0</v>
      </c>
      <c r="AZ36" s="2481"/>
      <c r="BA36" s="2481"/>
      <c r="BB36" s="2481"/>
      <c r="BC36" s="2481"/>
      <c r="BD36" s="2482"/>
      <c r="BE36" s="1205"/>
    </row>
    <row r="37" spans="1:58" ht="15.75" customHeight="1">
      <c r="A37" s="1209"/>
      <c r="B37" s="2244" t="s">
        <v>2472</v>
      </c>
      <c r="C37" s="2245"/>
      <c r="D37" s="2245"/>
      <c r="E37" s="2245"/>
      <c r="F37" s="2245"/>
      <c r="G37" s="2245"/>
      <c r="H37" s="2245"/>
      <c r="I37" s="2245"/>
      <c r="J37" s="2476"/>
      <c r="K37" s="2476"/>
      <c r="L37" s="2476"/>
      <c r="M37" s="2476"/>
      <c r="N37" s="2476"/>
      <c r="O37" s="2476"/>
      <c r="P37" s="2476"/>
      <c r="Q37" s="2476"/>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23"/>
      <c r="AM37" s="2224"/>
      <c r="AN37" s="2224"/>
      <c r="AO37" s="2225"/>
      <c r="AP37" s="2223"/>
      <c r="AQ37" s="2224"/>
      <c r="AR37" s="2225"/>
      <c r="AS37" s="2226">
        <f t="shared" si="2"/>
        <v>0</v>
      </c>
      <c r="AT37" s="2227"/>
      <c r="AU37" s="2227"/>
      <c r="AV37" s="2227"/>
      <c r="AW37" s="2227"/>
      <c r="AX37" s="2228"/>
      <c r="AY37" s="2480">
        <f t="shared" si="3"/>
        <v>0</v>
      </c>
      <c r="AZ37" s="2481"/>
      <c r="BA37" s="2481"/>
      <c r="BB37" s="2481"/>
      <c r="BC37" s="2481"/>
      <c r="BD37" s="2482"/>
      <c r="BE37" s="1205"/>
    </row>
    <row r="38" spans="1:58" ht="15.75" customHeight="1">
      <c r="A38" s="1209"/>
      <c r="B38" s="2244" t="s">
        <v>2411</v>
      </c>
      <c r="C38" s="2245"/>
      <c r="D38" s="2245"/>
      <c r="E38" s="2245"/>
      <c r="F38" s="2245"/>
      <c r="G38" s="2245"/>
      <c r="H38" s="2245"/>
      <c r="I38" s="2245"/>
      <c r="J38" s="2476"/>
      <c r="K38" s="2476"/>
      <c r="L38" s="2476"/>
      <c r="M38" s="2476"/>
      <c r="N38" s="2476"/>
      <c r="O38" s="2476"/>
      <c r="P38" s="2476"/>
      <c r="Q38" s="2476"/>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3"/>
      <c r="AM38" s="2224"/>
      <c r="AN38" s="2224"/>
      <c r="AO38" s="2225"/>
      <c r="AP38" s="2223"/>
      <c r="AQ38" s="2224"/>
      <c r="AR38" s="2225"/>
      <c r="AS38" s="2226">
        <f t="shared" si="2"/>
        <v>0</v>
      </c>
      <c r="AT38" s="2227"/>
      <c r="AU38" s="2227"/>
      <c r="AV38" s="2227"/>
      <c r="AW38" s="2227"/>
      <c r="AX38" s="2228"/>
      <c r="AY38" s="2480">
        <f t="shared" si="3"/>
        <v>0</v>
      </c>
      <c r="AZ38" s="2481"/>
      <c r="BA38" s="2481"/>
      <c r="BB38" s="2481"/>
      <c r="BC38" s="2481"/>
      <c r="BD38" s="2482"/>
      <c r="BE38" s="1205"/>
    </row>
    <row r="39" spans="1:58" ht="15.75" customHeight="1">
      <c r="A39" s="1209"/>
      <c r="B39" s="2244" t="s">
        <v>1807</v>
      </c>
      <c r="C39" s="2245"/>
      <c r="D39" s="2245"/>
      <c r="E39" s="2245"/>
      <c r="F39" s="2245"/>
      <c r="G39" s="2245"/>
      <c r="H39" s="2245"/>
      <c r="I39" s="2245"/>
      <c r="J39" s="2476"/>
      <c r="K39" s="2476"/>
      <c r="L39" s="2476"/>
      <c r="M39" s="2476"/>
      <c r="N39" s="2476"/>
      <c r="O39" s="2476"/>
      <c r="P39" s="2476"/>
      <c r="Q39" s="2476"/>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3"/>
      <c r="AM39" s="2224"/>
      <c r="AN39" s="2224"/>
      <c r="AO39" s="2225"/>
      <c r="AP39" s="2223"/>
      <c r="AQ39" s="2224"/>
      <c r="AR39" s="2225"/>
      <c r="AS39" s="2226">
        <f t="shared" si="2"/>
        <v>0</v>
      </c>
      <c r="AT39" s="2227"/>
      <c r="AU39" s="2227"/>
      <c r="AV39" s="2227"/>
      <c r="AW39" s="2227"/>
      <c r="AX39" s="2228"/>
      <c r="AY39" s="2480">
        <f t="shared" si="3"/>
        <v>0</v>
      </c>
      <c r="AZ39" s="2481"/>
      <c r="BA39" s="2481"/>
      <c r="BB39" s="2481"/>
      <c r="BC39" s="2481"/>
      <c r="BD39" s="2482"/>
      <c r="BE39" s="1205"/>
    </row>
    <row r="40" spans="1:58" ht="15.75" customHeight="1">
      <c r="A40" s="1209"/>
      <c r="B40" s="2244" t="s">
        <v>1807</v>
      </c>
      <c r="C40" s="2245"/>
      <c r="D40" s="2245"/>
      <c r="E40" s="2245"/>
      <c r="F40" s="2245"/>
      <c r="G40" s="2245"/>
      <c r="H40" s="2245"/>
      <c r="I40" s="2245"/>
      <c r="J40" s="2476"/>
      <c r="K40" s="2476"/>
      <c r="L40" s="2476"/>
      <c r="M40" s="2476"/>
      <c r="N40" s="2476"/>
      <c r="O40" s="2476"/>
      <c r="P40" s="2476"/>
      <c r="Q40" s="2476"/>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3"/>
      <c r="AM40" s="2224"/>
      <c r="AN40" s="2224"/>
      <c r="AO40" s="2225"/>
      <c r="AP40" s="2223"/>
      <c r="AQ40" s="2224"/>
      <c r="AR40" s="2225"/>
      <c r="AS40" s="2226">
        <f t="shared" si="2"/>
        <v>0</v>
      </c>
      <c r="AT40" s="2227"/>
      <c r="AU40" s="2227"/>
      <c r="AV40" s="2227"/>
      <c r="AW40" s="2227"/>
      <c r="AX40" s="2228"/>
      <c r="AY40" s="2480">
        <f t="shared" si="3"/>
        <v>0</v>
      </c>
      <c r="AZ40" s="2481"/>
      <c r="BA40" s="2481"/>
      <c r="BB40" s="2481"/>
      <c r="BC40" s="2481"/>
      <c r="BD40" s="2482"/>
      <c r="BE40" s="1205"/>
    </row>
    <row r="41" spans="1:58" ht="15.75" customHeight="1">
      <c r="A41" s="1209"/>
      <c r="B41" s="2244" t="s">
        <v>1808</v>
      </c>
      <c r="C41" s="2245"/>
      <c r="D41" s="2245"/>
      <c r="E41" s="2245"/>
      <c r="F41" s="2245"/>
      <c r="G41" s="2245"/>
      <c r="H41" s="2245"/>
      <c r="I41" s="2245"/>
      <c r="J41" s="2476"/>
      <c r="K41" s="2476"/>
      <c r="L41" s="2476"/>
      <c r="M41" s="2476"/>
      <c r="N41" s="2476"/>
      <c r="O41" s="2476"/>
      <c r="P41" s="2476"/>
      <c r="Q41" s="2476"/>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3"/>
      <c r="AM41" s="2224"/>
      <c r="AN41" s="2224"/>
      <c r="AO41" s="2225"/>
      <c r="AP41" s="2223"/>
      <c r="AQ41" s="2224"/>
      <c r="AR41" s="2225"/>
      <c r="AS41" s="2226">
        <f t="shared" si="2"/>
        <v>0</v>
      </c>
      <c r="AT41" s="2227"/>
      <c r="AU41" s="2227"/>
      <c r="AV41" s="2227"/>
      <c r="AW41" s="2227"/>
      <c r="AX41" s="2228"/>
      <c r="AY41" s="2480">
        <f t="shared" si="3"/>
        <v>0</v>
      </c>
      <c r="AZ41" s="2481"/>
      <c r="BA41" s="2481"/>
      <c r="BB41" s="2481"/>
      <c r="BC41" s="2481"/>
      <c r="BD41" s="2482"/>
      <c r="BE41" s="1205"/>
    </row>
    <row r="42" spans="1:58" ht="15.75" customHeight="1">
      <c r="A42" s="1209"/>
      <c r="B42" s="2244" t="s">
        <v>1808</v>
      </c>
      <c r="C42" s="2245"/>
      <c r="D42" s="2245"/>
      <c r="E42" s="2245"/>
      <c r="F42" s="2245"/>
      <c r="G42" s="2245"/>
      <c r="H42" s="2245"/>
      <c r="I42" s="2245"/>
      <c r="J42" s="2476"/>
      <c r="K42" s="2476"/>
      <c r="L42" s="2476"/>
      <c r="M42" s="2476"/>
      <c r="N42" s="2476"/>
      <c r="O42" s="2476"/>
      <c r="P42" s="2476"/>
      <c r="Q42" s="2476"/>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3"/>
      <c r="AM42" s="2224"/>
      <c r="AN42" s="2224"/>
      <c r="AO42" s="2225"/>
      <c r="AP42" s="2223"/>
      <c r="AQ42" s="2224"/>
      <c r="AR42" s="2225"/>
      <c r="AS42" s="2226">
        <f t="shared" si="2"/>
        <v>0</v>
      </c>
      <c r="AT42" s="2227"/>
      <c r="AU42" s="2227"/>
      <c r="AV42" s="2227"/>
      <c r="AW42" s="2227"/>
      <c r="AX42" s="2228"/>
      <c r="AY42" s="2480">
        <f t="shared" si="3"/>
        <v>0</v>
      </c>
      <c r="AZ42" s="2481"/>
      <c r="BA42" s="2481"/>
      <c r="BB42" s="2481"/>
      <c r="BC42" s="2481"/>
      <c r="BD42" s="2482"/>
      <c r="BE42" s="1205"/>
    </row>
    <row r="43" spans="1:58" ht="15.75" customHeight="1">
      <c r="A43" s="1209"/>
      <c r="B43" s="2215" t="s">
        <v>1809</v>
      </c>
      <c r="C43" s="2216"/>
      <c r="D43" s="2216"/>
      <c r="E43" s="2216"/>
      <c r="F43" s="2216"/>
      <c r="G43" s="2216"/>
      <c r="H43" s="2216"/>
      <c r="I43" s="2216"/>
      <c r="J43" s="2476"/>
      <c r="K43" s="2476"/>
      <c r="L43" s="2476"/>
      <c r="M43" s="2476"/>
      <c r="N43" s="2476"/>
      <c r="O43" s="2476"/>
      <c r="P43" s="2476"/>
      <c r="Q43" s="2476"/>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3"/>
      <c r="AM43" s="2224"/>
      <c r="AN43" s="2224"/>
      <c r="AO43" s="2225"/>
      <c r="AP43" s="2223"/>
      <c r="AQ43" s="2224"/>
      <c r="AR43" s="2225"/>
      <c r="AS43" s="2226">
        <f t="shared" si="2"/>
        <v>0</v>
      </c>
      <c r="AT43" s="2227"/>
      <c r="AU43" s="2227"/>
      <c r="AV43" s="2227"/>
      <c r="AW43" s="2227"/>
      <c r="AX43" s="2228"/>
      <c r="AY43" s="2480">
        <f t="shared" si="3"/>
        <v>0</v>
      </c>
      <c r="AZ43" s="2481"/>
      <c r="BA43" s="2481"/>
      <c r="BB43" s="2481"/>
      <c r="BC43" s="2481"/>
      <c r="BD43" s="2482"/>
      <c r="BE43" s="1205"/>
    </row>
    <row r="44" spans="1:58" ht="15.75" customHeight="1">
      <c r="A44" s="1209"/>
      <c r="B44" s="2215" t="s">
        <v>1810</v>
      </c>
      <c r="C44" s="2216"/>
      <c r="D44" s="2216"/>
      <c r="E44" s="2216"/>
      <c r="F44" s="2216"/>
      <c r="G44" s="2216"/>
      <c r="H44" s="2216"/>
      <c r="I44" s="2216"/>
      <c r="J44" s="2476"/>
      <c r="K44" s="2476"/>
      <c r="L44" s="2476"/>
      <c r="M44" s="2476"/>
      <c r="N44" s="2476"/>
      <c r="O44" s="2476"/>
      <c r="P44" s="2476"/>
      <c r="Q44" s="2476"/>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3"/>
      <c r="AM44" s="2224"/>
      <c r="AN44" s="2224"/>
      <c r="AO44" s="2225"/>
      <c r="AP44" s="2223"/>
      <c r="AQ44" s="2224"/>
      <c r="AR44" s="2225"/>
      <c r="AS44" s="2226">
        <f t="shared" si="2"/>
        <v>0</v>
      </c>
      <c r="AT44" s="2227"/>
      <c r="AU44" s="2227"/>
      <c r="AV44" s="2227"/>
      <c r="AW44" s="2227"/>
      <c r="AX44" s="2228"/>
      <c r="AY44" s="2480">
        <f t="shared" si="3"/>
        <v>0</v>
      </c>
      <c r="AZ44" s="2481"/>
      <c r="BA44" s="2481"/>
      <c r="BB44" s="2481"/>
      <c r="BC44" s="2481"/>
      <c r="BD44" s="2482"/>
      <c r="BE44" s="1205"/>
    </row>
    <row r="45" spans="1:58" ht="15.75" customHeight="1">
      <c r="A45" s="1209"/>
      <c r="B45" s="2215" t="s">
        <v>1811</v>
      </c>
      <c r="C45" s="2216"/>
      <c r="D45" s="2216"/>
      <c r="E45" s="2216"/>
      <c r="F45" s="2216"/>
      <c r="G45" s="2216"/>
      <c r="H45" s="2216"/>
      <c r="I45" s="2216"/>
      <c r="J45" s="2476"/>
      <c r="K45" s="2476"/>
      <c r="L45" s="2476"/>
      <c r="M45" s="2476"/>
      <c r="N45" s="2476"/>
      <c r="O45" s="2476"/>
      <c r="P45" s="2476"/>
      <c r="Q45" s="2476"/>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3"/>
      <c r="AM45" s="2224"/>
      <c r="AN45" s="2224"/>
      <c r="AO45" s="2225"/>
      <c r="AP45" s="2223"/>
      <c r="AQ45" s="2224"/>
      <c r="AR45" s="2225"/>
      <c r="AS45" s="2226">
        <f t="shared" si="2"/>
        <v>0</v>
      </c>
      <c r="AT45" s="2227"/>
      <c r="AU45" s="2227"/>
      <c r="AV45" s="2227"/>
      <c r="AW45" s="2227"/>
      <c r="AX45" s="2228"/>
      <c r="AY45" s="2480">
        <f t="shared" si="3"/>
        <v>0</v>
      </c>
      <c r="AZ45" s="2481"/>
      <c r="BA45" s="2481"/>
      <c r="BB45" s="2481"/>
      <c r="BC45" s="2481"/>
      <c r="BD45" s="2482"/>
      <c r="BE45" s="1205"/>
    </row>
    <row r="46" spans="1:58" ht="15.75" customHeight="1">
      <c r="A46" s="1209"/>
      <c r="B46" s="2215" t="s">
        <v>1812</v>
      </c>
      <c r="C46" s="2216"/>
      <c r="D46" s="2216"/>
      <c r="E46" s="2216"/>
      <c r="F46" s="2216"/>
      <c r="G46" s="2216"/>
      <c r="H46" s="2216"/>
      <c r="I46" s="2216"/>
      <c r="J46" s="2476"/>
      <c r="K46" s="2476"/>
      <c r="L46" s="2476"/>
      <c r="M46" s="2476"/>
      <c r="N46" s="2476"/>
      <c r="O46" s="2476"/>
      <c r="P46" s="2476"/>
      <c r="Q46" s="2476"/>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3"/>
      <c r="AM46" s="2224"/>
      <c r="AN46" s="2224"/>
      <c r="AO46" s="2225"/>
      <c r="AP46" s="2223"/>
      <c r="AQ46" s="2224"/>
      <c r="AR46" s="2225"/>
      <c r="AS46" s="2226">
        <f t="shared" si="2"/>
        <v>0</v>
      </c>
      <c r="AT46" s="2227"/>
      <c r="AU46" s="2227"/>
      <c r="AV46" s="2227"/>
      <c r="AW46" s="2227"/>
      <c r="AX46" s="2228"/>
      <c r="AY46" s="2480">
        <f t="shared" si="3"/>
        <v>0</v>
      </c>
      <c r="AZ46" s="2481"/>
      <c r="BA46" s="2481"/>
      <c r="BB46" s="2481"/>
      <c r="BC46" s="2481"/>
      <c r="BD46" s="2482"/>
      <c r="BE46" s="1205"/>
    </row>
    <row r="47" spans="1:58" ht="15.75" customHeight="1" thickBot="1">
      <c r="A47" s="1209"/>
      <c r="B47" s="2473" t="s">
        <v>301</v>
      </c>
      <c r="C47" s="2474"/>
      <c r="D47" s="2474"/>
      <c r="E47" s="2474"/>
      <c r="F47" s="2474"/>
      <c r="G47" s="2474"/>
      <c r="H47" s="2474"/>
      <c r="I47" s="2474"/>
      <c r="J47" s="2475"/>
      <c r="K47" s="2475"/>
      <c r="L47" s="2475"/>
      <c r="M47" s="2475"/>
      <c r="N47" s="2475"/>
      <c r="O47" s="2475"/>
      <c r="P47" s="2475"/>
      <c r="Q47" s="2475"/>
      <c r="R47" s="2469"/>
      <c r="S47" s="2469"/>
      <c r="T47" s="2469"/>
      <c r="U47" s="2469"/>
      <c r="V47" s="2469"/>
      <c r="W47" s="2469"/>
      <c r="X47" s="2469"/>
      <c r="Y47" s="2469"/>
      <c r="Z47" s="2469"/>
      <c r="AA47" s="2469"/>
      <c r="AB47" s="2469"/>
      <c r="AC47" s="2469"/>
      <c r="AD47" s="2469"/>
      <c r="AE47" s="2469"/>
      <c r="AF47" s="2469"/>
      <c r="AG47" s="2469"/>
      <c r="AH47" s="2469"/>
      <c r="AI47" s="2469"/>
      <c r="AJ47" s="2469"/>
      <c r="AK47" s="2469"/>
      <c r="AL47" s="2470"/>
      <c r="AM47" s="2471"/>
      <c r="AN47" s="2471"/>
      <c r="AO47" s="2472"/>
      <c r="AP47" s="2470"/>
      <c r="AQ47" s="2471"/>
      <c r="AR47" s="2472"/>
      <c r="AS47" s="2226">
        <f t="shared" si="2"/>
        <v>0</v>
      </c>
      <c r="AT47" s="2227"/>
      <c r="AU47" s="2227"/>
      <c r="AV47" s="2227"/>
      <c r="AW47" s="2227"/>
      <c r="AX47" s="2228"/>
      <c r="AY47" s="2477">
        <f t="shared" si="3"/>
        <v>0</v>
      </c>
      <c r="AZ47" s="2478"/>
      <c r="BA47" s="2478"/>
      <c r="BB47" s="2478"/>
      <c r="BC47" s="2478"/>
      <c r="BD47" s="2479"/>
      <c r="BE47" s="1205"/>
    </row>
    <row r="48" spans="1:58" ht="15.75" customHeight="1">
      <c r="A48" s="1209"/>
      <c r="B48" s="1257" t="s">
        <v>2473</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2181</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7" t="s">
        <v>1813</v>
      </c>
      <c r="C50" s="2213"/>
      <c r="D50" s="2213"/>
      <c r="E50" s="2213"/>
      <c r="F50" s="2213"/>
      <c r="G50" s="2213"/>
      <c r="H50" s="2213"/>
      <c r="I50" s="2213"/>
      <c r="J50" s="2213"/>
      <c r="K50" s="2213"/>
      <c r="L50" s="2213"/>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4"/>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5" t="s">
        <v>1814</v>
      </c>
      <c r="C51" s="2176"/>
      <c r="D51" s="2176"/>
      <c r="E51" s="2176"/>
      <c r="F51" s="2176"/>
      <c r="G51" s="2176"/>
      <c r="H51" s="2176"/>
      <c r="I51" s="2176"/>
      <c r="J51" s="2176" t="s">
        <v>2474</v>
      </c>
      <c r="K51" s="2176"/>
      <c r="L51" s="2176"/>
      <c r="M51" s="2176"/>
      <c r="N51" s="2176"/>
      <c r="O51" s="2176"/>
      <c r="P51" s="2176"/>
      <c r="Q51" s="2176"/>
      <c r="R51" s="2467" t="s">
        <v>2475</v>
      </c>
      <c r="S51" s="2467"/>
      <c r="T51" s="2467"/>
      <c r="U51" s="2467"/>
      <c r="V51" s="2467"/>
      <c r="W51" s="2467"/>
      <c r="X51" s="2467"/>
      <c r="Y51" s="2467"/>
      <c r="Z51" s="2467" t="s">
        <v>1815</v>
      </c>
      <c r="AA51" s="2467"/>
      <c r="AB51" s="2467"/>
      <c r="AC51" s="2467"/>
      <c r="AD51" s="2467"/>
      <c r="AE51" s="2467"/>
      <c r="AF51" s="2467"/>
      <c r="AG51" s="2467"/>
      <c r="AH51" s="2467" t="s">
        <v>1816</v>
      </c>
      <c r="AI51" s="2467"/>
      <c r="AJ51" s="2467"/>
      <c r="AK51" s="2467"/>
      <c r="AL51" s="2467"/>
      <c r="AM51" s="2467"/>
      <c r="AN51" s="2467"/>
      <c r="AO51" s="2468"/>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5" t="s">
        <v>2182</v>
      </c>
      <c r="C52" s="2216"/>
      <c r="D52" s="2216"/>
      <c r="E52" s="2216"/>
      <c r="F52" s="2216"/>
      <c r="G52" s="2216"/>
      <c r="H52" s="2216"/>
      <c r="I52" s="2216"/>
      <c r="J52" s="2349">
        <v>0</v>
      </c>
      <c r="K52" s="2349"/>
      <c r="L52" s="2349"/>
      <c r="M52" s="2349"/>
      <c r="N52" s="2349"/>
      <c r="O52" s="2349"/>
      <c r="P52" s="2349"/>
      <c r="Q52" s="2349"/>
      <c r="R52" s="2455">
        <v>0</v>
      </c>
      <c r="S52" s="2455"/>
      <c r="T52" s="2455"/>
      <c r="U52" s="2455"/>
      <c r="V52" s="2455"/>
      <c r="W52" s="2455"/>
      <c r="X52" s="2455"/>
      <c r="Y52" s="2455"/>
      <c r="Z52" s="2456">
        <v>0</v>
      </c>
      <c r="AA52" s="2456"/>
      <c r="AB52" s="2456"/>
      <c r="AC52" s="2456"/>
      <c r="AD52" s="2456"/>
      <c r="AE52" s="2456"/>
      <c r="AF52" s="2456"/>
      <c r="AG52" s="2456"/>
      <c r="AH52" s="2457"/>
      <c r="AI52" s="2457"/>
      <c r="AJ52" s="2457"/>
      <c r="AK52" s="2457"/>
      <c r="AL52" s="2457"/>
      <c r="AM52" s="2457"/>
      <c r="AN52" s="2457"/>
      <c r="AO52" s="2458"/>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5" t="s">
        <v>2183</v>
      </c>
      <c r="C53" s="2216"/>
      <c r="D53" s="2216"/>
      <c r="E53" s="2216"/>
      <c r="F53" s="2216"/>
      <c r="G53" s="2216"/>
      <c r="H53" s="2216"/>
      <c r="I53" s="2216"/>
      <c r="J53" s="2349">
        <v>0</v>
      </c>
      <c r="K53" s="2349"/>
      <c r="L53" s="2349"/>
      <c r="M53" s="2349"/>
      <c r="N53" s="2349"/>
      <c r="O53" s="2349"/>
      <c r="P53" s="2349"/>
      <c r="Q53" s="2349"/>
      <c r="R53" s="2455">
        <v>0</v>
      </c>
      <c r="S53" s="2455"/>
      <c r="T53" s="2455"/>
      <c r="U53" s="2455"/>
      <c r="V53" s="2455"/>
      <c r="W53" s="2455"/>
      <c r="X53" s="2455"/>
      <c r="Y53" s="2455"/>
      <c r="Z53" s="2456">
        <v>0</v>
      </c>
      <c r="AA53" s="2456"/>
      <c r="AB53" s="2456"/>
      <c r="AC53" s="2456"/>
      <c r="AD53" s="2456"/>
      <c r="AE53" s="2456"/>
      <c r="AF53" s="2456"/>
      <c r="AG53" s="2456"/>
      <c r="AH53" s="2457"/>
      <c r="AI53" s="2457"/>
      <c r="AJ53" s="2457"/>
      <c r="AK53" s="2457"/>
      <c r="AL53" s="2457"/>
      <c r="AM53" s="2457"/>
      <c r="AN53" s="2457"/>
      <c r="AO53" s="2458"/>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5"/>
      <c r="C54" s="2216"/>
      <c r="D54" s="2216"/>
      <c r="E54" s="2216"/>
      <c r="F54" s="2216"/>
      <c r="G54" s="2216"/>
      <c r="H54" s="2216"/>
      <c r="I54" s="2216"/>
      <c r="J54" s="2349"/>
      <c r="K54" s="2349"/>
      <c r="L54" s="2349"/>
      <c r="M54" s="2349"/>
      <c r="N54" s="2349"/>
      <c r="O54" s="2349"/>
      <c r="P54" s="2349"/>
      <c r="Q54" s="2349"/>
      <c r="R54" s="2455"/>
      <c r="S54" s="2455"/>
      <c r="T54" s="2455"/>
      <c r="U54" s="2455"/>
      <c r="V54" s="2455"/>
      <c r="W54" s="2455"/>
      <c r="X54" s="2455"/>
      <c r="Y54" s="2455"/>
      <c r="Z54" s="2456"/>
      <c r="AA54" s="2456"/>
      <c r="AB54" s="2456"/>
      <c r="AC54" s="2456"/>
      <c r="AD54" s="2456"/>
      <c r="AE54" s="2456"/>
      <c r="AF54" s="2456"/>
      <c r="AG54" s="2456"/>
      <c r="AH54" s="2457"/>
      <c r="AI54" s="2457"/>
      <c r="AJ54" s="2457"/>
      <c r="AK54" s="2457"/>
      <c r="AL54" s="2457"/>
      <c r="AM54" s="2457"/>
      <c r="AN54" s="2457"/>
      <c r="AO54" s="2458"/>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5"/>
      <c r="C55" s="2216"/>
      <c r="D55" s="2216"/>
      <c r="E55" s="2216"/>
      <c r="F55" s="2216"/>
      <c r="G55" s="2216"/>
      <c r="H55" s="2216"/>
      <c r="I55" s="2216"/>
      <c r="J55" s="2349"/>
      <c r="K55" s="2349"/>
      <c r="L55" s="2349"/>
      <c r="M55" s="2349"/>
      <c r="N55" s="2349"/>
      <c r="O55" s="2349"/>
      <c r="P55" s="2349"/>
      <c r="Q55" s="2349"/>
      <c r="R55" s="2455"/>
      <c r="S55" s="2455"/>
      <c r="T55" s="2455"/>
      <c r="U55" s="2455"/>
      <c r="V55" s="2455"/>
      <c r="W55" s="2455"/>
      <c r="X55" s="2455"/>
      <c r="Y55" s="2455"/>
      <c r="Z55" s="2456"/>
      <c r="AA55" s="2456"/>
      <c r="AB55" s="2456"/>
      <c r="AC55" s="2456"/>
      <c r="AD55" s="2456"/>
      <c r="AE55" s="2456"/>
      <c r="AF55" s="2456"/>
      <c r="AG55" s="2456"/>
      <c r="AH55" s="2457"/>
      <c r="AI55" s="2457"/>
      <c r="AJ55" s="2457"/>
      <c r="AK55" s="2457"/>
      <c r="AL55" s="2457"/>
      <c r="AM55" s="2457"/>
      <c r="AN55" s="2457"/>
      <c r="AO55" s="2458"/>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5"/>
      <c r="C56" s="2216"/>
      <c r="D56" s="2216"/>
      <c r="E56" s="2216"/>
      <c r="F56" s="2216"/>
      <c r="G56" s="2216"/>
      <c r="H56" s="2216"/>
      <c r="I56" s="2216"/>
      <c r="J56" s="2349"/>
      <c r="K56" s="2349"/>
      <c r="L56" s="2349"/>
      <c r="M56" s="2349"/>
      <c r="N56" s="2349"/>
      <c r="O56" s="2349"/>
      <c r="P56" s="2349"/>
      <c r="Q56" s="2349"/>
      <c r="R56" s="2455"/>
      <c r="S56" s="2455"/>
      <c r="T56" s="2455"/>
      <c r="U56" s="2455"/>
      <c r="V56" s="2455"/>
      <c r="W56" s="2455"/>
      <c r="X56" s="2455"/>
      <c r="Y56" s="2455"/>
      <c r="Z56" s="2456"/>
      <c r="AA56" s="2456"/>
      <c r="AB56" s="2456"/>
      <c r="AC56" s="2456"/>
      <c r="AD56" s="2456"/>
      <c r="AE56" s="2456"/>
      <c r="AF56" s="2456"/>
      <c r="AG56" s="2456"/>
      <c r="AH56" s="2457"/>
      <c r="AI56" s="2457"/>
      <c r="AJ56" s="2457"/>
      <c r="AK56" s="2457"/>
      <c r="AL56" s="2457"/>
      <c r="AM56" s="2457"/>
      <c r="AN56" s="2457"/>
      <c r="AO56" s="2458"/>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69" t="s">
        <v>1698</v>
      </c>
      <c r="C57" s="2170"/>
      <c r="D57" s="2170"/>
      <c r="E57" s="2170"/>
      <c r="F57" s="2170"/>
      <c r="G57" s="2170"/>
      <c r="H57" s="2170"/>
      <c r="I57" s="2170"/>
      <c r="J57" s="2170"/>
      <c r="K57" s="2170"/>
      <c r="L57" s="2170"/>
      <c r="M57" s="2170"/>
      <c r="N57" s="2170"/>
      <c r="O57" s="2170"/>
      <c r="P57" s="2170"/>
      <c r="Q57" s="2170"/>
      <c r="R57" s="2459">
        <f>SUM(R52:Y56)</f>
        <v>0</v>
      </c>
      <c r="S57" s="2459"/>
      <c r="T57" s="2459"/>
      <c r="U57" s="2459"/>
      <c r="V57" s="2459"/>
      <c r="W57" s="2459"/>
      <c r="X57" s="2459"/>
      <c r="Y57" s="2459"/>
      <c r="Z57" s="2460">
        <f>SUM(Z52:AG56)</f>
        <v>0</v>
      </c>
      <c r="AA57" s="2460"/>
      <c r="AB57" s="2460"/>
      <c r="AC57" s="2460"/>
      <c r="AD57" s="2460"/>
      <c r="AE57" s="2460"/>
      <c r="AF57" s="2460"/>
      <c r="AG57" s="2460"/>
      <c r="AH57" s="2461"/>
      <c r="AI57" s="2461"/>
      <c r="AJ57" s="2461"/>
      <c r="AK57" s="2461"/>
      <c r="AL57" s="2461"/>
      <c r="AM57" s="2461"/>
      <c r="AN57" s="2461"/>
      <c r="AO57" s="2462"/>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3" t="s">
        <v>1814</v>
      </c>
      <c r="C59" s="2464"/>
      <c r="D59" s="2464"/>
      <c r="E59" s="2464"/>
      <c r="F59" s="2464"/>
      <c r="G59" s="2464"/>
      <c r="H59" s="2464"/>
      <c r="I59" s="2465"/>
      <c r="J59" s="2429" t="s">
        <v>2476</v>
      </c>
      <c r="K59" s="2429"/>
      <c r="L59" s="2429"/>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c r="AS59" s="2429"/>
      <c r="AT59" s="2429"/>
      <c r="AU59" s="2429"/>
      <c r="AV59" s="2429"/>
      <c r="AW59" s="2430"/>
      <c r="AX59" s="1209"/>
      <c r="AY59" s="1209"/>
      <c r="AZ59" s="1209"/>
      <c r="BA59" s="1209"/>
      <c r="BB59" s="1209"/>
      <c r="BC59" s="1209"/>
      <c r="BD59" s="1209"/>
      <c r="BE59" s="1205"/>
    </row>
    <row r="60" spans="1:58" ht="15.75" customHeight="1">
      <c r="A60" s="1209"/>
      <c r="B60" s="2448" t="str">
        <f>IF(B52="", "", B52)</f>
        <v>Services Company 1</v>
      </c>
      <c r="C60" s="2449"/>
      <c r="D60" s="2449"/>
      <c r="E60" s="2449"/>
      <c r="F60" s="2449"/>
      <c r="G60" s="2449"/>
      <c r="H60" s="2449"/>
      <c r="I60" s="2450"/>
      <c r="J60" s="2451"/>
      <c r="K60" s="2352"/>
      <c r="L60" s="2352"/>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c r="AS60" s="2352"/>
      <c r="AT60" s="2352"/>
      <c r="AU60" s="2352"/>
      <c r="AV60" s="2352"/>
      <c r="AW60" s="2353"/>
      <c r="AX60" s="1209"/>
      <c r="AY60" s="1209"/>
      <c r="AZ60" s="1209"/>
      <c r="BA60" s="1209"/>
      <c r="BB60" s="1209"/>
      <c r="BC60" s="1209"/>
      <c r="BD60" s="1209"/>
      <c r="BE60" s="1205"/>
    </row>
    <row r="61" spans="1:58" ht="15.75" customHeight="1">
      <c r="A61" s="1209"/>
      <c r="B61" s="2448" t="str">
        <f>IF(B53="", "", B53)</f>
        <v>Services Company 2</v>
      </c>
      <c r="C61" s="2449"/>
      <c r="D61" s="2449"/>
      <c r="E61" s="2449"/>
      <c r="F61" s="2449"/>
      <c r="G61" s="2449"/>
      <c r="H61" s="2449"/>
      <c r="I61" s="2450"/>
      <c r="J61" s="2451"/>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3"/>
      <c r="AX61" s="1209"/>
      <c r="AY61" s="1209"/>
      <c r="AZ61" s="1209"/>
      <c r="BA61" s="1209"/>
      <c r="BB61" s="1209"/>
      <c r="BC61" s="1209"/>
      <c r="BD61" s="1209"/>
      <c r="BE61" s="1205"/>
    </row>
    <row r="62" spans="1:58" ht="15.75" customHeight="1">
      <c r="A62" s="1209"/>
      <c r="B62" s="2448" t="str">
        <f>IF(B54="", "", B54)</f>
        <v/>
      </c>
      <c r="C62" s="2449"/>
      <c r="D62" s="2449"/>
      <c r="E62" s="2449"/>
      <c r="F62" s="2449"/>
      <c r="G62" s="2449"/>
      <c r="H62" s="2449"/>
      <c r="I62" s="2450"/>
      <c r="J62" s="2451"/>
      <c r="K62" s="2352"/>
      <c r="L62" s="2352"/>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c r="AS62" s="2352"/>
      <c r="AT62" s="2352"/>
      <c r="AU62" s="2352"/>
      <c r="AV62" s="2352"/>
      <c r="AW62" s="2353"/>
      <c r="AX62" s="1209"/>
      <c r="AY62" s="1209"/>
      <c r="AZ62" s="1209"/>
      <c r="BA62" s="1209"/>
      <c r="BB62" s="1209"/>
      <c r="BC62" s="1209"/>
      <c r="BD62" s="1209"/>
      <c r="BE62" s="1205"/>
    </row>
    <row r="63" spans="1:58" ht="15.75" customHeight="1">
      <c r="A63" s="1209"/>
      <c r="B63" s="2448" t="str">
        <f>IF(B55="", "", B55)</f>
        <v/>
      </c>
      <c r="C63" s="2449"/>
      <c r="D63" s="2449"/>
      <c r="E63" s="2449"/>
      <c r="F63" s="2449"/>
      <c r="G63" s="2449"/>
      <c r="H63" s="2449"/>
      <c r="I63" s="2450"/>
      <c r="J63" s="2451"/>
      <c r="K63" s="2352"/>
      <c r="L63" s="2352"/>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c r="AS63" s="2352"/>
      <c r="AT63" s="2352"/>
      <c r="AU63" s="2352"/>
      <c r="AV63" s="2352"/>
      <c r="AW63" s="2353"/>
      <c r="AX63" s="1209"/>
      <c r="AY63" s="1209"/>
      <c r="AZ63" s="1209"/>
      <c r="BA63" s="1209"/>
      <c r="BB63" s="1209"/>
      <c r="BC63" s="1209"/>
      <c r="BD63" s="1209"/>
      <c r="BE63" s="1205"/>
    </row>
    <row r="64" spans="1:58" ht="15.75" customHeight="1" thickBot="1">
      <c r="A64" s="1209"/>
      <c r="B64" s="2452" t="str">
        <f>IF(B56="", "", B56)</f>
        <v/>
      </c>
      <c r="C64" s="2453"/>
      <c r="D64" s="2453"/>
      <c r="E64" s="2453"/>
      <c r="F64" s="2453"/>
      <c r="G64" s="2453"/>
      <c r="H64" s="2453"/>
      <c r="I64" s="2454"/>
      <c r="J64" s="2466"/>
      <c r="K64" s="2446"/>
      <c r="L64" s="2446"/>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c r="AS64" s="2446"/>
      <c r="AT64" s="2446"/>
      <c r="AU64" s="2446"/>
      <c r="AV64" s="2446"/>
      <c r="AW64" s="2447"/>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1817</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8" t="s">
        <v>1818</v>
      </c>
      <c r="C68" s="2429"/>
      <c r="D68" s="2429"/>
      <c r="E68" s="2429"/>
      <c r="F68" s="2429"/>
      <c r="G68" s="2429"/>
      <c r="H68" s="2429"/>
      <c r="I68" s="2429"/>
      <c r="J68" s="2429"/>
      <c r="K68" s="2429"/>
      <c r="L68" s="2429"/>
      <c r="M68" s="2429"/>
      <c r="N68" s="2429"/>
      <c r="O68" s="2429"/>
      <c r="P68" s="2429"/>
      <c r="Q68" s="2429"/>
      <c r="R68" s="2429"/>
      <c r="S68" s="2429"/>
      <c r="T68" s="2429"/>
      <c r="U68" s="2429"/>
      <c r="V68" s="2429"/>
      <c r="W68" s="2429"/>
      <c r="X68" s="2429"/>
      <c r="Y68" s="2429"/>
      <c r="Z68" s="2429"/>
      <c r="AA68" s="2430"/>
      <c r="AB68" s="1209"/>
      <c r="AC68" s="2180" t="s">
        <v>1819</v>
      </c>
      <c r="AD68" s="2181"/>
      <c r="AE68" s="2181"/>
      <c r="AF68" s="2181"/>
      <c r="AG68" s="2181"/>
      <c r="AH68" s="2181"/>
      <c r="AI68" s="2181"/>
      <c r="AJ68" s="2181"/>
      <c r="AK68" s="2181"/>
      <c r="AL68" s="2181"/>
      <c r="AM68" s="2181"/>
      <c r="AN68" s="2181"/>
      <c r="AO68" s="2181"/>
      <c r="AP68" s="2181"/>
      <c r="AQ68" s="2181"/>
      <c r="AR68" s="2181"/>
      <c r="AS68" s="2181"/>
      <c r="AT68" s="2181"/>
      <c r="AU68" s="2181"/>
      <c r="AV68" s="2231" t="s">
        <v>677</v>
      </c>
      <c r="AW68" s="2232"/>
      <c r="AX68" s="2232"/>
      <c r="AY68" s="2232"/>
      <c r="AZ68" s="2232"/>
      <c r="BA68" s="2232"/>
      <c r="BB68" s="2232"/>
      <c r="BC68" s="2233"/>
      <c r="BD68" s="1209"/>
      <c r="BE68" s="1205"/>
      <c r="BM68" s="1254" t="s">
        <v>2477</v>
      </c>
    </row>
    <row r="69" spans="1:65" ht="15.75" customHeight="1" thickTop="1" thickBot="1">
      <c r="A69" s="1209"/>
      <c r="B69" s="2234" t="s">
        <v>1820</v>
      </c>
      <c r="C69" s="2235"/>
      <c r="D69" s="2235"/>
      <c r="E69" s="2235"/>
      <c r="F69" s="2235"/>
      <c r="G69" s="2235"/>
      <c r="H69" s="2235"/>
      <c r="I69" s="2235"/>
      <c r="J69" s="2235"/>
      <c r="K69" s="2235"/>
      <c r="L69" s="2235"/>
      <c r="M69" s="2235"/>
      <c r="N69" s="2235"/>
      <c r="O69" s="2236" t="s">
        <v>1821</v>
      </c>
      <c r="P69" s="2237"/>
      <c r="Q69" s="2237"/>
      <c r="R69" s="2237"/>
      <c r="S69" s="2237"/>
      <c r="T69" s="2237"/>
      <c r="U69" s="2237"/>
      <c r="V69" s="2237"/>
      <c r="W69" s="2237"/>
      <c r="X69" s="2237"/>
      <c r="Y69" s="2237"/>
      <c r="Z69" s="2237"/>
      <c r="AA69" s="2238"/>
      <c r="AB69" s="1209"/>
      <c r="AC69" s="2239" t="s">
        <v>1822</v>
      </c>
      <c r="AD69" s="2240"/>
      <c r="AE69" s="2240"/>
      <c r="AF69" s="2240"/>
      <c r="AG69" s="2240"/>
      <c r="AH69" s="2240"/>
      <c r="AI69" s="2240"/>
      <c r="AJ69" s="2240"/>
      <c r="AK69" s="2240"/>
      <c r="AL69" s="2240"/>
      <c r="AM69" s="2240"/>
      <c r="AN69" s="2240"/>
      <c r="AO69" s="2240"/>
      <c r="AP69" s="2240"/>
      <c r="AQ69" s="2240"/>
      <c r="AR69" s="2240"/>
      <c r="AS69" s="2240"/>
      <c r="AT69" s="2240"/>
      <c r="AU69" s="2240"/>
      <c r="AV69" s="2241"/>
      <c r="AW69" s="2242"/>
      <c r="AX69" s="2242"/>
      <c r="AY69" s="2242"/>
      <c r="AZ69" s="2242"/>
      <c r="BA69" s="2242"/>
      <c r="BB69" s="2242"/>
      <c r="BC69" s="2243"/>
      <c r="BD69" s="1209"/>
      <c r="BE69" s="1205"/>
      <c r="BM69" s="1253" t="s">
        <v>553</v>
      </c>
    </row>
    <row r="70" spans="1:65" ht="15.75" customHeight="1">
      <c r="A70" s="1209"/>
      <c r="B70" s="2244" t="s">
        <v>2478</v>
      </c>
      <c r="C70" s="2245"/>
      <c r="D70" s="2245"/>
      <c r="E70" s="2245"/>
      <c r="F70" s="2245"/>
      <c r="G70" s="2245"/>
      <c r="H70" s="2245"/>
      <c r="I70" s="2245"/>
      <c r="J70" s="2245"/>
      <c r="K70" s="2245"/>
      <c r="L70" s="2245"/>
      <c r="M70" s="2245"/>
      <c r="N70" s="2245"/>
      <c r="O70" s="2209">
        <v>0</v>
      </c>
      <c r="P70" s="2209"/>
      <c r="Q70" s="2209"/>
      <c r="R70" s="2209"/>
      <c r="S70" s="2209"/>
      <c r="T70" s="2209"/>
      <c r="U70" s="2209"/>
      <c r="V70" s="2209"/>
      <c r="W70" s="2209"/>
      <c r="X70" s="2209"/>
      <c r="Y70" s="2209"/>
      <c r="Z70" s="2209"/>
      <c r="AA70" s="2210"/>
      <c r="AB70" s="1209"/>
      <c r="AC70" s="2417" t="s">
        <v>1823</v>
      </c>
      <c r="AD70" s="2213"/>
      <c r="AE70" s="2213"/>
      <c r="AF70" s="2442"/>
      <c r="AG70" s="2442"/>
      <c r="AH70" s="2442"/>
      <c r="AI70" s="2442"/>
      <c r="AJ70" s="2442"/>
      <c r="AK70" s="2442"/>
      <c r="AL70" s="2442"/>
      <c r="AM70" s="2442"/>
      <c r="AN70" s="2442"/>
      <c r="AO70" s="2442"/>
      <c r="AP70" s="2442"/>
      <c r="AQ70" s="2442"/>
      <c r="AR70" s="2442"/>
      <c r="AS70" s="2442"/>
      <c r="AT70" s="2442"/>
      <c r="AU70" s="2443"/>
      <c r="AV70" s="1209"/>
      <c r="AW70" s="1209"/>
      <c r="AX70" s="1209"/>
      <c r="AY70" s="1209"/>
      <c r="AZ70" s="1209"/>
      <c r="BA70" s="1209"/>
      <c r="BB70" s="1209"/>
      <c r="BC70" s="1209"/>
      <c r="BD70" s="1209"/>
      <c r="BE70" s="1205"/>
      <c r="BM70" s="1252" t="s">
        <v>677</v>
      </c>
    </row>
    <row r="71" spans="1:65" ht="15.75" customHeight="1" thickBot="1">
      <c r="A71" s="1209"/>
      <c r="B71" s="2244" t="s">
        <v>2479</v>
      </c>
      <c r="C71" s="2245"/>
      <c r="D71" s="2245"/>
      <c r="E71" s="2245"/>
      <c r="F71" s="2245"/>
      <c r="G71" s="2245"/>
      <c r="H71" s="2245"/>
      <c r="I71" s="2245"/>
      <c r="J71" s="2245"/>
      <c r="K71" s="2245"/>
      <c r="L71" s="2245"/>
      <c r="M71" s="2245"/>
      <c r="N71" s="2245"/>
      <c r="O71" s="2209">
        <v>0</v>
      </c>
      <c r="P71" s="2209"/>
      <c r="Q71" s="2209"/>
      <c r="R71" s="2209"/>
      <c r="S71" s="2209"/>
      <c r="T71" s="2209"/>
      <c r="U71" s="2209"/>
      <c r="V71" s="2209"/>
      <c r="W71" s="2209"/>
      <c r="X71" s="2209"/>
      <c r="Y71" s="2209"/>
      <c r="Z71" s="2209"/>
      <c r="AA71" s="2210"/>
      <c r="AB71" s="1209"/>
      <c r="AC71" s="2444" t="s">
        <v>1824</v>
      </c>
      <c r="AD71" s="2445"/>
      <c r="AE71" s="2445"/>
      <c r="AF71" s="2446"/>
      <c r="AG71" s="2446"/>
      <c r="AH71" s="2446"/>
      <c r="AI71" s="2446"/>
      <c r="AJ71" s="2446"/>
      <c r="AK71" s="2446"/>
      <c r="AL71" s="2446"/>
      <c r="AM71" s="2446"/>
      <c r="AN71" s="2446"/>
      <c r="AO71" s="2446"/>
      <c r="AP71" s="2446"/>
      <c r="AQ71" s="2446"/>
      <c r="AR71" s="2446"/>
      <c r="AS71" s="2446"/>
      <c r="AT71" s="2446"/>
      <c r="AU71" s="2447"/>
      <c r="AV71" s="1209"/>
      <c r="AW71" s="1209"/>
      <c r="AX71" s="1209"/>
      <c r="AY71" s="1209"/>
      <c r="AZ71" s="1209"/>
      <c r="BA71" s="1209"/>
      <c r="BB71" s="1209"/>
      <c r="BC71" s="1209"/>
      <c r="BD71" s="1209"/>
      <c r="BE71" s="1205"/>
      <c r="BM71" s="1200" t="s">
        <v>2480</v>
      </c>
    </row>
    <row r="72" spans="1:65" ht="15.75" customHeight="1">
      <c r="A72" s="1209"/>
      <c r="B72" s="2244" t="s">
        <v>2481</v>
      </c>
      <c r="C72" s="2245"/>
      <c r="D72" s="2245"/>
      <c r="E72" s="2245"/>
      <c r="F72" s="2245"/>
      <c r="G72" s="2245"/>
      <c r="H72" s="2245"/>
      <c r="I72" s="2245"/>
      <c r="J72" s="2245"/>
      <c r="K72" s="2245"/>
      <c r="L72" s="2245"/>
      <c r="M72" s="2245"/>
      <c r="N72" s="2245"/>
      <c r="O72" s="2209">
        <v>0</v>
      </c>
      <c r="P72" s="2209"/>
      <c r="Q72" s="2209"/>
      <c r="R72" s="2209"/>
      <c r="S72" s="2209"/>
      <c r="T72" s="2209"/>
      <c r="U72" s="2209"/>
      <c r="V72" s="2209"/>
      <c r="W72" s="2209"/>
      <c r="X72" s="2209"/>
      <c r="Y72" s="2209"/>
      <c r="Z72" s="2209"/>
      <c r="AA72" s="2210"/>
      <c r="AB72" s="1209"/>
      <c r="AC72" s="2211" t="s">
        <v>2482</v>
      </c>
      <c r="AD72" s="2212"/>
      <c r="AE72" s="2212"/>
      <c r="AF72" s="2212"/>
      <c r="AG72" s="2212"/>
      <c r="AH72" s="2212"/>
      <c r="AI72" s="2212"/>
      <c r="AJ72" s="2212"/>
      <c r="AK72" s="2212"/>
      <c r="AL72" s="2212"/>
      <c r="AM72" s="2212"/>
      <c r="AN72" s="2212"/>
      <c r="AO72" s="2212"/>
      <c r="AP72" s="2212"/>
      <c r="AQ72" s="2212"/>
      <c r="AR72" s="2212"/>
      <c r="AS72" s="2212"/>
      <c r="AT72" s="2212"/>
      <c r="AU72" s="2212"/>
      <c r="AV72" s="2213"/>
      <c r="AW72" s="2213"/>
      <c r="AX72" s="2213"/>
      <c r="AY72" s="2213"/>
      <c r="AZ72" s="2213"/>
      <c r="BA72" s="2213"/>
      <c r="BB72" s="2213"/>
      <c r="BC72" s="2214"/>
      <c r="BD72" s="1209"/>
      <c r="BE72" s="1205"/>
    </row>
    <row r="73" spans="1:65" ht="15.75" customHeight="1">
      <c r="A73" s="1209"/>
      <c r="B73" s="2215" t="s">
        <v>2483</v>
      </c>
      <c r="C73" s="2216"/>
      <c r="D73" s="2216"/>
      <c r="E73" s="2216"/>
      <c r="F73" s="2216"/>
      <c r="G73" s="2216"/>
      <c r="H73" s="2216"/>
      <c r="I73" s="2216"/>
      <c r="J73" s="2216"/>
      <c r="K73" s="2216"/>
      <c r="L73" s="2216"/>
      <c r="M73" s="2216"/>
      <c r="N73" s="2216"/>
      <c r="O73" s="2209">
        <v>0</v>
      </c>
      <c r="P73" s="2209"/>
      <c r="Q73" s="2209"/>
      <c r="R73" s="2209"/>
      <c r="S73" s="2209"/>
      <c r="T73" s="2209"/>
      <c r="U73" s="2209"/>
      <c r="V73" s="2209"/>
      <c r="W73" s="2209"/>
      <c r="X73" s="2209"/>
      <c r="Y73" s="2209"/>
      <c r="Z73" s="2209"/>
      <c r="AA73" s="2210"/>
      <c r="AB73" s="1209"/>
      <c r="AC73" s="2399" t="s">
        <v>2184</v>
      </c>
      <c r="AD73" s="2400"/>
      <c r="AE73" s="2400"/>
      <c r="AF73" s="2400"/>
      <c r="AG73" s="2400"/>
      <c r="AH73" s="2400"/>
      <c r="AI73" s="2400"/>
      <c r="AJ73" s="2400"/>
      <c r="AK73" s="2400"/>
      <c r="AL73" s="2400"/>
      <c r="AM73" s="2400"/>
      <c r="AN73" s="2400"/>
      <c r="AO73" s="2400"/>
      <c r="AP73" s="2400"/>
      <c r="AQ73" s="2400"/>
      <c r="AR73" s="2400"/>
      <c r="AS73" s="2400"/>
      <c r="AT73" s="2400"/>
      <c r="AU73" s="2400"/>
      <c r="AV73" s="2400"/>
      <c r="AW73" s="2400"/>
      <c r="AX73" s="2400"/>
      <c r="AY73" s="2400"/>
      <c r="AZ73" s="2400"/>
      <c r="BA73" s="2400"/>
      <c r="BB73" s="2400"/>
      <c r="BC73" s="2401"/>
      <c r="BD73" s="1209"/>
      <c r="BE73" s="1205"/>
    </row>
    <row r="74" spans="1:65" ht="15.75" customHeight="1">
      <c r="A74" s="1209"/>
      <c r="B74" s="2348"/>
      <c r="C74" s="2349"/>
      <c r="D74" s="2349"/>
      <c r="E74" s="2349"/>
      <c r="F74" s="2349"/>
      <c r="G74" s="2349"/>
      <c r="H74" s="2349"/>
      <c r="I74" s="2349"/>
      <c r="J74" s="2349"/>
      <c r="K74" s="2349"/>
      <c r="L74" s="2349"/>
      <c r="M74" s="2349"/>
      <c r="N74" s="2349"/>
      <c r="O74" s="2209"/>
      <c r="P74" s="2209"/>
      <c r="Q74" s="2209"/>
      <c r="R74" s="2209"/>
      <c r="S74" s="2209"/>
      <c r="T74" s="2209"/>
      <c r="U74" s="2209"/>
      <c r="V74" s="2209"/>
      <c r="W74" s="2209"/>
      <c r="X74" s="2209"/>
      <c r="Y74" s="2209"/>
      <c r="Z74" s="2209"/>
      <c r="AA74" s="2210"/>
      <c r="AB74" s="1209"/>
      <c r="AC74" s="2399"/>
      <c r="AD74" s="2400"/>
      <c r="AE74" s="2400"/>
      <c r="AF74" s="2400"/>
      <c r="AG74" s="2400"/>
      <c r="AH74" s="2400"/>
      <c r="AI74" s="2400"/>
      <c r="AJ74" s="2400"/>
      <c r="AK74" s="2400"/>
      <c r="AL74" s="2400"/>
      <c r="AM74" s="2400"/>
      <c r="AN74" s="2400"/>
      <c r="AO74" s="2400"/>
      <c r="AP74" s="2400"/>
      <c r="AQ74" s="2400"/>
      <c r="AR74" s="2400"/>
      <c r="AS74" s="2400"/>
      <c r="AT74" s="2400"/>
      <c r="AU74" s="2400"/>
      <c r="AV74" s="2400"/>
      <c r="AW74" s="2400"/>
      <c r="AX74" s="2400"/>
      <c r="AY74" s="2400"/>
      <c r="AZ74" s="2400"/>
      <c r="BA74" s="2400"/>
      <c r="BB74" s="2400"/>
      <c r="BC74" s="2401"/>
      <c r="BD74" s="1209"/>
      <c r="BE74" s="1205"/>
    </row>
    <row r="75" spans="1:65" ht="15.75" customHeight="1" thickBot="1">
      <c r="A75" s="1209"/>
      <c r="B75" s="2440" t="s">
        <v>124</v>
      </c>
      <c r="C75" s="2441"/>
      <c r="D75" s="2441"/>
      <c r="E75" s="2441"/>
      <c r="F75" s="2441"/>
      <c r="G75" s="2441"/>
      <c r="H75" s="2441"/>
      <c r="I75" s="2441"/>
      <c r="J75" s="2441"/>
      <c r="K75" s="2441"/>
      <c r="L75" s="2441"/>
      <c r="M75" s="2441"/>
      <c r="N75" s="2441"/>
      <c r="O75" s="2217">
        <f>SUM(O70:AA74)</f>
        <v>0</v>
      </c>
      <c r="P75" s="2217"/>
      <c r="Q75" s="2217"/>
      <c r="R75" s="2217"/>
      <c r="S75" s="2217"/>
      <c r="T75" s="2217"/>
      <c r="U75" s="2217"/>
      <c r="V75" s="2217"/>
      <c r="W75" s="2217"/>
      <c r="X75" s="2217"/>
      <c r="Y75" s="2217"/>
      <c r="Z75" s="2217"/>
      <c r="AA75" s="2218"/>
      <c r="AB75" s="1209"/>
      <c r="AC75" s="2399"/>
      <c r="AD75" s="2400"/>
      <c r="AE75" s="2400"/>
      <c r="AF75" s="2400"/>
      <c r="AG75" s="2400"/>
      <c r="AH75" s="2400"/>
      <c r="AI75" s="2400"/>
      <c r="AJ75" s="2400"/>
      <c r="AK75" s="2400"/>
      <c r="AL75" s="2400"/>
      <c r="AM75" s="2400"/>
      <c r="AN75" s="2400"/>
      <c r="AO75" s="2400"/>
      <c r="AP75" s="2400"/>
      <c r="AQ75" s="2400"/>
      <c r="AR75" s="2400"/>
      <c r="AS75" s="2400"/>
      <c r="AT75" s="2400"/>
      <c r="AU75" s="2400"/>
      <c r="AV75" s="2400"/>
      <c r="AW75" s="2400"/>
      <c r="AX75" s="2400"/>
      <c r="AY75" s="2400"/>
      <c r="AZ75" s="2400"/>
      <c r="BA75" s="2400"/>
      <c r="BB75" s="2400"/>
      <c r="BC75" s="2401"/>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9"/>
      <c r="AD76" s="2400"/>
      <c r="AE76" s="2400"/>
      <c r="AF76" s="2400"/>
      <c r="AG76" s="2400"/>
      <c r="AH76" s="2400"/>
      <c r="AI76" s="2400"/>
      <c r="AJ76" s="2400"/>
      <c r="AK76" s="2400"/>
      <c r="AL76" s="2400"/>
      <c r="AM76" s="2400"/>
      <c r="AN76" s="2400"/>
      <c r="AO76" s="2400"/>
      <c r="AP76" s="2400"/>
      <c r="AQ76" s="2400"/>
      <c r="AR76" s="2400"/>
      <c r="AS76" s="2400"/>
      <c r="AT76" s="2400"/>
      <c r="AU76" s="2400"/>
      <c r="AV76" s="2400"/>
      <c r="AW76" s="2400"/>
      <c r="AX76" s="2400"/>
      <c r="AY76" s="2400"/>
      <c r="AZ76" s="2400"/>
      <c r="BA76" s="2400"/>
      <c r="BB76" s="2400"/>
      <c r="BC76" s="2401"/>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2"/>
      <c r="AD77" s="2403"/>
      <c r="AE77" s="2403"/>
      <c r="AF77" s="2403"/>
      <c r="AG77" s="2403"/>
      <c r="AH77" s="2403"/>
      <c r="AI77" s="2403"/>
      <c r="AJ77" s="2403"/>
      <c r="AK77" s="2403"/>
      <c r="AL77" s="2403"/>
      <c r="AM77" s="2403"/>
      <c r="AN77" s="2403"/>
      <c r="AO77" s="2403"/>
      <c r="AP77" s="2403"/>
      <c r="AQ77" s="2403"/>
      <c r="AR77" s="2403"/>
      <c r="AS77" s="2403"/>
      <c r="AT77" s="2403"/>
      <c r="AU77" s="2403"/>
      <c r="AV77" s="2403"/>
      <c r="AW77" s="2403"/>
      <c r="AX77" s="2403"/>
      <c r="AY77" s="2403"/>
      <c r="AZ77" s="2403"/>
      <c r="BA77" s="2403"/>
      <c r="BB77" s="2403"/>
      <c r="BC77" s="2404"/>
      <c r="BD77" s="1209"/>
      <c r="BE77" s="1205"/>
    </row>
    <row r="78" spans="1:65" ht="15.75" customHeight="1" thickBot="1">
      <c r="A78" s="1209"/>
      <c r="B78" s="1240" t="s">
        <v>2619</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1859</v>
      </c>
      <c r="C79" s="1239"/>
      <c r="D79" s="1239"/>
      <c r="E79" s="1251"/>
      <c r="F79" s="2229"/>
      <c r="G79" s="2230"/>
      <c r="H79" s="2230"/>
      <c r="I79" s="2230"/>
      <c r="J79" s="2230"/>
      <c r="K79" s="2230"/>
      <c r="L79" s="2230"/>
      <c r="M79" s="2197"/>
      <c r="N79" s="2197"/>
      <c r="O79" s="2197"/>
      <c r="P79" s="2197"/>
      <c r="Q79" s="2198"/>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2611</v>
      </c>
      <c r="C80" s="1243"/>
      <c r="D80" s="1242"/>
      <c r="E80" s="1242"/>
      <c r="F80" s="1242"/>
      <c r="G80" s="1242"/>
      <c r="H80" s="1242"/>
      <c r="I80" s="1242"/>
      <c r="J80" s="1242"/>
      <c r="K80" s="1242"/>
      <c r="L80" s="1241"/>
      <c r="M80" s="1242"/>
      <c r="N80" s="1241"/>
      <c r="O80" s="2202" t="e">
        <f>BR96/SUM($BR$96:$BR$98)</f>
        <v>#DIV/0!</v>
      </c>
      <c r="P80" s="2203"/>
      <c r="Q80" s="2204"/>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2618</v>
      </c>
      <c r="C81" s="1247"/>
      <c r="D81" s="1229"/>
      <c r="E81" s="1229"/>
      <c r="F81" s="1229"/>
      <c r="G81" s="1229"/>
      <c r="H81" s="1229"/>
      <c r="I81" s="1229"/>
      <c r="J81" s="1229"/>
      <c r="K81" s="1229"/>
      <c r="L81" s="1229"/>
      <c r="M81" s="1229"/>
      <c r="N81" s="1249"/>
      <c r="O81" s="2193" t="s">
        <v>2550</v>
      </c>
      <c r="P81" s="2194"/>
      <c r="Q81" s="2195"/>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79" t="s">
        <v>2167</v>
      </c>
      <c r="C83" s="2580"/>
      <c r="D83" s="2580"/>
      <c r="E83" s="2580"/>
      <c r="F83" s="2580"/>
      <c r="G83" s="2580"/>
      <c r="H83" s="2580"/>
      <c r="I83" s="2580"/>
      <c r="J83" s="2580"/>
      <c r="K83" s="2580"/>
      <c r="L83" s="2580"/>
      <c r="M83" s="2580"/>
      <c r="N83" s="2580"/>
      <c r="O83" s="2580"/>
      <c r="P83" s="2580"/>
      <c r="Q83" s="2580"/>
      <c r="R83" s="2580"/>
      <c r="S83" s="2580"/>
      <c r="T83" s="2580"/>
      <c r="U83" s="2580"/>
      <c r="V83" s="2580"/>
      <c r="W83" s="2580"/>
      <c r="X83" s="2580"/>
      <c r="Y83" s="2580"/>
      <c r="Z83" s="2580"/>
      <c r="AA83" s="2580"/>
      <c r="AB83" s="2580"/>
      <c r="AC83" s="2580"/>
      <c r="AD83" s="2580"/>
      <c r="AE83" s="2580"/>
      <c r="AF83" s="2580"/>
      <c r="AG83" s="2580"/>
      <c r="AH83" s="2581"/>
      <c r="AI83" s="1209"/>
      <c r="AJ83" s="2183" t="s">
        <v>2617</v>
      </c>
      <c r="AK83" s="2184"/>
      <c r="AL83" s="2184"/>
      <c r="AM83" s="2184"/>
      <c r="AN83" s="2184"/>
      <c r="AO83" s="2184"/>
      <c r="AP83" s="2184"/>
      <c r="AQ83" s="2184"/>
      <c r="AR83" s="2184"/>
      <c r="AS83" s="2184"/>
      <c r="AT83" s="2184"/>
      <c r="AU83" s="2184"/>
      <c r="AV83" s="2184"/>
      <c r="AW83" s="2184"/>
      <c r="AX83" s="2184"/>
      <c r="AY83" s="2205" t="s">
        <v>553</v>
      </c>
      <c r="AZ83" s="2205"/>
      <c r="BA83" s="2205"/>
      <c r="BB83" s="2206"/>
      <c r="BC83" s="1209"/>
      <c r="BD83" s="1209"/>
      <c r="BE83" s="1205"/>
    </row>
    <row r="84" spans="1:70" ht="15.75" customHeight="1">
      <c r="A84" s="1209"/>
      <c r="B84" s="2175"/>
      <c r="C84" s="2176"/>
      <c r="D84" s="2176"/>
      <c r="E84" s="2176"/>
      <c r="F84" s="2176"/>
      <c r="G84" s="2176"/>
      <c r="H84" s="2176"/>
      <c r="I84" s="2176" t="s">
        <v>1825</v>
      </c>
      <c r="J84" s="2176"/>
      <c r="K84" s="2176"/>
      <c r="L84" s="2176"/>
      <c r="M84" s="2176"/>
      <c r="N84" s="2176"/>
      <c r="O84" s="2176" t="s">
        <v>1826</v>
      </c>
      <c r="P84" s="2176"/>
      <c r="Q84" s="2176"/>
      <c r="R84" s="2176"/>
      <c r="S84" s="2176"/>
      <c r="T84" s="2176"/>
      <c r="U84" s="2176"/>
      <c r="V84" s="2177" t="s">
        <v>2185</v>
      </c>
      <c r="W84" s="2177"/>
      <c r="X84" s="2177"/>
      <c r="Y84" s="2177"/>
      <c r="Z84" s="2177"/>
      <c r="AA84" s="2177"/>
      <c r="AB84" s="2178" t="s">
        <v>1827</v>
      </c>
      <c r="AC84" s="2178"/>
      <c r="AD84" s="2178"/>
      <c r="AE84" s="2178"/>
      <c r="AF84" s="2178"/>
      <c r="AG84" s="2178"/>
      <c r="AH84" s="2179"/>
      <c r="AI84" s="1209"/>
      <c r="AJ84" s="2185"/>
      <c r="AK84" s="2186"/>
      <c r="AL84" s="2186"/>
      <c r="AM84" s="2186"/>
      <c r="AN84" s="2186"/>
      <c r="AO84" s="2186"/>
      <c r="AP84" s="2186"/>
      <c r="AQ84" s="2186"/>
      <c r="AR84" s="2186"/>
      <c r="AS84" s="2186"/>
      <c r="AT84" s="2186"/>
      <c r="AU84" s="2186"/>
      <c r="AV84" s="2186"/>
      <c r="AW84" s="2186"/>
      <c r="AX84" s="2186"/>
      <c r="AY84" s="2207"/>
      <c r="AZ84" s="2207"/>
      <c r="BA84" s="2207"/>
      <c r="BB84" s="2208"/>
      <c r="BC84" s="1209"/>
      <c r="BD84" s="1209"/>
      <c r="BE84" s="1205"/>
    </row>
    <row r="85" spans="1:70" ht="15.75" customHeight="1">
      <c r="A85" s="1209"/>
      <c r="B85" s="2175"/>
      <c r="C85" s="2176"/>
      <c r="D85" s="2176"/>
      <c r="E85" s="2176"/>
      <c r="F85" s="2176"/>
      <c r="G85" s="2176"/>
      <c r="H85" s="2176"/>
      <c r="I85" s="2176"/>
      <c r="J85" s="2176"/>
      <c r="K85" s="2176"/>
      <c r="L85" s="2176"/>
      <c r="M85" s="2176"/>
      <c r="N85" s="2176"/>
      <c r="O85" s="2176"/>
      <c r="P85" s="2176"/>
      <c r="Q85" s="2176"/>
      <c r="R85" s="2176"/>
      <c r="S85" s="2176"/>
      <c r="T85" s="2176"/>
      <c r="U85" s="2176"/>
      <c r="V85" s="2177"/>
      <c r="W85" s="2177"/>
      <c r="X85" s="2177"/>
      <c r="Y85" s="2177"/>
      <c r="Z85" s="2177"/>
      <c r="AA85" s="2177"/>
      <c r="AB85" s="2178"/>
      <c r="AC85" s="2178"/>
      <c r="AD85" s="2178"/>
      <c r="AE85" s="2178"/>
      <c r="AF85" s="2178"/>
      <c r="AG85" s="2178"/>
      <c r="AH85" s="2179"/>
      <c r="AI85" s="1209"/>
      <c r="AJ85" s="2185"/>
      <c r="AK85" s="2186"/>
      <c r="AL85" s="2186"/>
      <c r="AM85" s="2186"/>
      <c r="AN85" s="2186"/>
      <c r="AO85" s="2186"/>
      <c r="AP85" s="2186"/>
      <c r="AQ85" s="2186"/>
      <c r="AR85" s="2186"/>
      <c r="AS85" s="2186"/>
      <c r="AT85" s="2186"/>
      <c r="AU85" s="2186"/>
      <c r="AV85" s="2186"/>
      <c r="AW85" s="2186"/>
      <c r="AX85" s="2186"/>
      <c r="AY85" s="2207"/>
      <c r="AZ85" s="2207"/>
      <c r="BA85" s="2207"/>
      <c r="BB85" s="2208"/>
      <c r="BC85" s="1209"/>
      <c r="BD85" s="1209"/>
      <c r="BE85" s="1205"/>
    </row>
    <row r="86" spans="1:70" ht="15.75" customHeight="1">
      <c r="A86" s="1209"/>
      <c r="B86" s="2175" t="s">
        <v>2168</v>
      </c>
      <c r="C86" s="2176"/>
      <c r="D86" s="2176"/>
      <c r="E86" s="2176"/>
      <c r="F86" s="2176"/>
      <c r="G86" s="2176"/>
      <c r="H86" s="2176"/>
      <c r="I86" s="2173">
        <v>0</v>
      </c>
      <c r="J86" s="2173"/>
      <c r="K86" s="2173"/>
      <c r="L86" s="2173"/>
      <c r="M86" s="2173"/>
      <c r="N86" s="2173"/>
      <c r="O86" s="2173">
        <v>0</v>
      </c>
      <c r="P86" s="2173"/>
      <c r="Q86" s="2173"/>
      <c r="R86" s="2173"/>
      <c r="S86" s="2173"/>
      <c r="T86" s="2173"/>
      <c r="U86" s="2173"/>
      <c r="V86" s="2173">
        <v>0</v>
      </c>
      <c r="W86" s="2173"/>
      <c r="X86" s="2173"/>
      <c r="Y86" s="2173"/>
      <c r="Z86" s="2173"/>
      <c r="AA86" s="2173"/>
      <c r="AB86" s="2173">
        <v>0</v>
      </c>
      <c r="AC86" s="2173"/>
      <c r="AD86" s="2173"/>
      <c r="AE86" s="2173"/>
      <c r="AF86" s="2173"/>
      <c r="AG86" s="2173"/>
      <c r="AH86" s="2174"/>
      <c r="AI86" s="1209"/>
      <c r="AJ86" s="2185"/>
      <c r="AK86" s="2186"/>
      <c r="AL86" s="2186"/>
      <c r="AM86" s="2186"/>
      <c r="AN86" s="2186"/>
      <c r="AO86" s="2186"/>
      <c r="AP86" s="2186"/>
      <c r="AQ86" s="2186"/>
      <c r="AR86" s="2186"/>
      <c r="AS86" s="2186"/>
      <c r="AT86" s="2186"/>
      <c r="AU86" s="2186"/>
      <c r="AV86" s="2186"/>
      <c r="AW86" s="2186"/>
      <c r="AX86" s="2186"/>
      <c r="AY86" s="2207"/>
      <c r="AZ86" s="2207"/>
      <c r="BA86" s="2207"/>
      <c r="BB86" s="2208"/>
      <c r="BC86" s="1209"/>
      <c r="BD86" s="1209"/>
      <c r="BE86" s="1205"/>
    </row>
    <row r="87" spans="1:70" ht="15.75" customHeight="1">
      <c r="A87" s="1209"/>
      <c r="B87" s="2175" t="s">
        <v>2169</v>
      </c>
      <c r="C87" s="2176"/>
      <c r="D87" s="2176"/>
      <c r="E87" s="2176"/>
      <c r="F87" s="2176"/>
      <c r="G87" s="2176"/>
      <c r="H87" s="2176"/>
      <c r="I87" s="2173">
        <v>0</v>
      </c>
      <c r="J87" s="2173"/>
      <c r="K87" s="2173"/>
      <c r="L87" s="2173"/>
      <c r="M87" s="2173"/>
      <c r="N87" s="2173"/>
      <c r="O87" s="2173">
        <v>0</v>
      </c>
      <c r="P87" s="2173"/>
      <c r="Q87" s="2173"/>
      <c r="R87" s="2173"/>
      <c r="S87" s="2173"/>
      <c r="T87" s="2173"/>
      <c r="U87" s="2173"/>
      <c r="V87" s="2173">
        <v>0</v>
      </c>
      <c r="W87" s="2173"/>
      <c r="X87" s="2173"/>
      <c r="Y87" s="2173"/>
      <c r="Z87" s="2173"/>
      <c r="AA87" s="2173"/>
      <c r="AB87" s="2173">
        <v>0</v>
      </c>
      <c r="AC87" s="2173"/>
      <c r="AD87" s="2173"/>
      <c r="AE87" s="2173"/>
      <c r="AF87" s="2173"/>
      <c r="AG87" s="2173"/>
      <c r="AH87" s="2174"/>
      <c r="AI87" s="1209"/>
      <c r="AJ87" s="2187" t="s">
        <v>2484</v>
      </c>
      <c r="AK87" s="2188"/>
      <c r="AL87" s="2188"/>
      <c r="AM87" s="2188"/>
      <c r="AN87" s="2188"/>
      <c r="AO87" s="2188"/>
      <c r="AP87" s="2188"/>
      <c r="AQ87" s="2188"/>
      <c r="AR87" s="2188"/>
      <c r="AS87" s="2188"/>
      <c r="AT87" s="2188"/>
      <c r="AU87" s="2188"/>
      <c r="AV87" s="2188"/>
      <c r="AW87" s="2188"/>
      <c r="AX87" s="2188"/>
      <c r="AY87" s="2188"/>
      <c r="AZ87" s="2188"/>
      <c r="BA87" s="2188"/>
      <c r="BB87" s="2189"/>
      <c r="BC87" s="1209"/>
      <c r="BD87" s="1209"/>
      <c r="BE87" s="1205"/>
    </row>
    <row r="88" spans="1:70" ht="15.75" customHeight="1" thickBot="1">
      <c r="A88" s="1209"/>
      <c r="B88" s="2169" t="s">
        <v>1828</v>
      </c>
      <c r="C88" s="2170"/>
      <c r="D88" s="2170"/>
      <c r="E88" s="2170"/>
      <c r="F88" s="2170"/>
      <c r="G88" s="2170"/>
      <c r="H88" s="2170"/>
      <c r="I88" s="2171">
        <v>0</v>
      </c>
      <c r="J88" s="2171"/>
      <c r="K88" s="2171"/>
      <c r="L88" s="2171"/>
      <c r="M88" s="2171"/>
      <c r="N88" s="2171"/>
      <c r="O88" s="2171">
        <v>0</v>
      </c>
      <c r="P88" s="2171"/>
      <c r="Q88" s="2171"/>
      <c r="R88" s="2171"/>
      <c r="S88" s="2171"/>
      <c r="T88" s="2171"/>
      <c r="U88" s="2171"/>
      <c r="V88" s="2171">
        <v>0</v>
      </c>
      <c r="W88" s="2171"/>
      <c r="X88" s="2171"/>
      <c r="Y88" s="2171"/>
      <c r="Z88" s="2171"/>
      <c r="AA88" s="2171"/>
      <c r="AB88" s="2171">
        <v>0</v>
      </c>
      <c r="AC88" s="2171"/>
      <c r="AD88" s="2171"/>
      <c r="AE88" s="2171"/>
      <c r="AF88" s="2171"/>
      <c r="AG88" s="2171"/>
      <c r="AH88" s="2172"/>
      <c r="AI88" s="1209"/>
      <c r="AJ88" s="2190"/>
      <c r="AK88" s="2191"/>
      <c r="AL88" s="2191"/>
      <c r="AM88" s="2191"/>
      <c r="AN88" s="2191"/>
      <c r="AO88" s="2191"/>
      <c r="AP88" s="2191"/>
      <c r="AQ88" s="2191"/>
      <c r="AR88" s="2191"/>
      <c r="AS88" s="2191"/>
      <c r="AT88" s="2191"/>
      <c r="AU88" s="2191"/>
      <c r="AV88" s="2191"/>
      <c r="AW88" s="2191"/>
      <c r="AX88" s="2191"/>
      <c r="AY88" s="2191"/>
      <c r="AZ88" s="2191"/>
      <c r="BA88" s="2191"/>
      <c r="BB88" s="2192"/>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2616</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1859</v>
      </c>
      <c r="C92" s="1237"/>
      <c r="D92" s="1236"/>
      <c r="E92" s="1235"/>
      <c r="F92" s="2196"/>
      <c r="G92" s="2197"/>
      <c r="H92" s="2197"/>
      <c r="I92" s="2197"/>
      <c r="J92" s="2197"/>
      <c r="K92" s="2197"/>
      <c r="L92" s="2197"/>
      <c r="M92" s="2197"/>
      <c r="N92" s="2197"/>
      <c r="O92" s="2197"/>
      <c r="P92" s="2197"/>
      <c r="Q92" s="2198"/>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2611</v>
      </c>
      <c r="C93" s="1243"/>
      <c r="D93" s="1242"/>
      <c r="E93" s="1242"/>
      <c r="F93" s="1242"/>
      <c r="G93" s="1242"/>
      <c r="H93" s="1242"/>
      <c r="I93" s="1242"/>
      <c r="J93" s="1242"/>
      <c r="K93" s="1242"/>
      <c r="L93" s="1241"/>
      <c r="M93" s="1242"/>
      <c r="N93" s="1241"/>
      <c r="O93" s="2202" t="e">
        <f>BR97/SUM($BR$96:$BR$98)</f>
        <v>#DIV/0!</v>
      </c>
      <c r="P93" s="2203"/>
      <c r="Q93" s="2204"/>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2615</v>
      </c>
      <c r="C94" s="1247"/>
      <c r="D94" s="1229"/>
      <c r="E94" s="1229"/>
      <c r="F94" s="1229"/>
      <c r="G94" s="1229"/>
      <c r="H94" s="1229"/>
      <c r="I94" s="1229"/>
      <c r="J94" s="1229"/>
      <c r="K94" s="1229"/>
      <c r="L94" s="1229"/>
      <c r="M94" s="1229"/>
      <c r="N94" s="1249"/>
      <c r="O94" s="2193" t="s">
        <v>2550</v>
      </c>
      <c r="P94" s="2194"/>
      <c r="Q94" s="2195"/>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79" t="s">
        <v>2614</v>
      </c>
      <c r="C96" s="2580"/>
      <c r="D96" s="2580"/>
      <c r="E96" s="2580"/>
      <c r="F96" s="2580"/>
      <c r="G96" s="2580"/>
      <c r="H96" s="2580"/>
      <c r="I96" s="2580"/>
      <c r="J96" s="2580"/>
      <c r="K96" s="2580"/>
      <c r="L96" s="2580"/>
      <c r="M96" s="2580"/>
      <c r="N96" s="2580"/>
      <c r="O96" s="2580"/>
      <c r="P96" s="2580"/>
      <c r="Q96" s="2580"/>
      <c r="R96" s="2580"/>
      <c r="S96" s="2580"/>
      <c r="T96" s="2580"/>
      <c r="U96" s="2580"/>
      <c r="V96" s="2580"/>
      <c r="W96" s="2580"/>
      <c r="X96" s="2580"/>
      <c r="Y96" s="2580"/>
      <c r="Z96" s="2580"/>
      <c r="AA96" s="2580"/>
      <c r="AB96" s="2580"/>
      <c r="AC96" s="2580"/>
      <c r="AD96" s="2580"/>
      <c r="AE96" s="2580"/>
      <c r="AF96" s="2580"/>
      <c r="AG96" s="2580"/>
      <c r="AH96" s="2581"/>
      <c r="AI96" s="1209"/>
      <c r="AJ96" s="2183" t="s">
        <v>2613</v>
      </c>
      <c r="AK96" s="2184"/>
      <c r="AL96" s="2184"/>
      <c r="AM96" s="2184"/>
      <c r="AN96" s="2184"/>
      <c r="AO96" s="2184"/>
      <c r="AP96" s="2184"/>
      <c r="AQ96" s="2184"/>
      <c r="AR96" s="2184"/>
      <c r="AS96" s="2184"/>
      <c r="AT96" s="2184"/>
      <c r="AU96" s="2184"/>
      <c r="AV96" s="2184"/>
      <c r="AW96" s="2184"/>
      <c r="AX96" s="2184"/>
      <c r="AY96" s="2205" t="s">
        <v>553</v>
      </c>
      <c r="AZ96" s="2205"/>
      <c r="BA96" s="2205"/>
      <c r="BB96" s="2206"/>
      <c r="BC96" s="1209"/>
      <c r="BD96" s="1209"/>
      <c r="BE96" s="1205"/>
      <c r="BQ96" s="1248" t="str">
        <f>Application!M243</f>
        <v>AHA Santa Paula MGP, LLC</v>
      </c>
      <c r="BR96" s="1248">
        <f>Application!AH245</f>
        <v>0</v>
      </c>
    </row>
    <row r="97" spans="1:70" ht="15.75" customHeight="1">
      <c r="A97" s="1209"/>
      <c r="B97" s="2175"/>
      <c r="C97" s="2176"/>
      <c r="D97" s="2176"/>
      <c r="E97" s="2176"/>
      <c r="F97" s="2176"/>
      <c r="G97" s="2176"/>
      <c r="H97" s="2176"/>
      <c r="I97" s="2176" t="s">
        <v>1825</v>
      </c>
      <c r="J97" s="2176"/>
      <c r="K97" s="2176"/>
      <c r="L97" s="2176"/>
      <c r="M97" s="2176"/>
      <c r="N97" s="2176"/>
      <c r="O97" s="2176" t="s">
        <v>1826</v>
      </c>
      <c r="P97" s="2176"/>
      <c r="Q97" s="2176"/>
      <c r="R97" s="2176"/>
      <c r="S97" s="2176"/>
      <c r="T97" s="2176"/>
      <c r="U97" s="2176"/>
      <c r="V97" s="2177" t="s">
        <v>2185</v>
      </c>
      <c r="W97" s="2177"/>
      <c r="X97" s="2177"/>
      <c r="Y97" s="2177"/>
      <c r="Z97" s="2177"/>
      <c r="AA97" s="2177"/>
      <c r="AB97" s="2178" t="s">
        <v>1827</v>
      </c>
      <c r="AC97" s="2178"/>
      <c r="AD97" s="2178"/>
      <c r="AE97" s="2178"/>
      <c r="AF97" s="2178"/>
      <c r="AG97" s="2178"/>
      <c r="AH97" s="2179"/>
      <c r="AI97" s="1209"/>
      <c r="AJ97" s="2185"/>
      <c r="AK97" s="2186"/>
      <c r="AL97" s="2186"/>
      <c r="AM97" s="2186"/>
      <c r="AN97" s="2186"/>
      <c r="AO97" s="2186"/>
      <c r="AP97" s="2186"/>
      <c r="AQ97" s="2186"/>
      <c r="AR97" s="2186"/>
      <c r="AS97" s="2186"/>
      <c r="AT97" s="2186"/>
      <c r="AU97" s="2186"/>
      <c r="AV97" s="2186"/>
      <c r="AW97" s="2186"/>
      <c r="AX97" s="2186"/>
      <c r="AY97" s="2207"/>
      <c r="AZ97" s="2207"/>
      <c r="BA97" s="2207"/>
      <c r="BB97" s="2208"/>
      <c r="BC97" s="1209"/>
      <c r="BD97" s="1209"/>
      <c r="BE97" s="1205"/>
      <c r="BQ97" s="1248" t="str">
        <f>Application!M251</f>
        <v>Telegraph Partners GP, LLC</v>
      </c>
      <c r="BR97" s="1248">
        <f>Application!AH253</f>
        <v>0</v>
      </c>
    </row>
    <row r="98" spans="1:70" ht="15.75" customHeight="1">
      <c r="A98" s="1209"/>
      <c r="B98" s="2175"/>
      <c r="C98" s="2176"/>
      <c r="D98" s="2176"/>
      <c r="E98" s="2176"/>
      <c r="F98" s="2176"/>
      <c r="G98" s="2176"/>
      <c r="H98" s="2176"/>
      <c r="I98" s="2176"/>
      <c r="J98" s="2176"/>
      <c r="K98" s="2176"/>
      <c r="L98" s="2176"/>
      <c r="M98" s="2176"/>
      <c r="N98" s="2176"/>
      <c r="O98" s="2176"/>
      <c r="P98" s="2176"/>
      <c r="Q98" s="2176"/>
      <c r="R98" s="2176"/>
      <c r="S98" s="2176"/>
      <c r="T98" s="2176"/>
      <c r="U98" s="2176"/>
      <c r="V98" s="2177"/>
      <c r="W98" s="2177"/>
      <c r="X98" s="2177"/>
      <c r="Y98" s="2177"/>
      <c r="Z98" s="2177"/>
      <c r="AA98" s="2177"/>
      <c r="AB98" s="2178"/>
      <c r="AC98" s="2178"/>
      <c r="AD98" s="2178"/>
      <c r="AE98" s="2178"/>
      <c r="AF98" s="2178"/>
      <c r="AG98" s="2178"/>
      <c r="AH98" s="2179"/>
      <c r="AI98" s="1209"/>
      <c r="AJ98" s="2185"/>
      <c r="AK98" s="2186"/>
      <c r="AL98" s="2186"/>
      <c r="AM98" s="2186"/>
      <c r="AN98" s="2186"/>
      <c r="AO98" s="2186"/>
      <c r="AP98" s="2186"/>
      <c r="AQ98" s="2186"/>
      <c r="AR98" s="2186"/>
      <c r="AS98" s="2186"/>
      <c r="AT98" s="2186"/>
      <c r="AU98" s="2186"/>
      <c r="AV98" s="2186"/>
      <c r="AW98" s="2186"/>
      <c r="AX98" s="2186"/>
      <c r="AY98" s="2207"/>
      <c r="AZ98" s="2207"/>
      <c r="BA98" s="2207"/>
      <c r="BB98" s="2208"/>
      <c r="BC98" s="1209"/>
      <c r="BD98" s="1209"/>
      <c r="BE98" s="1205"/>
      <c r="BQ98" s="1248">
        <f>Application!M259</f>
        <v>0</v>
      </c>
      <c r="BR98" s="1248">
        <f>Application!AH261</f>
        <v>0</v>
      </c>
    </row>
    <row r="99" spans="1:70" ht="15.75" customHeight="1">
      <c r="A99" s="1209"/>
      <c r="B99" s="2175" t="s">
        <v>2168</v>
      </c>
      <c r="C99" s="2176"/>
      <c r="D99" s="2176"/>
      <c r="E99" s="2176"/>
      <c r="F99" s="2176"/>
      <c r="G99" s="2176"/>
      <c r="H99" s="2176"/>
      <c r="I99" s="2173">
        <v>0</v>
      </c>
      <c r="J99" s="2173"/>
      <c r="K99" s="2173"/>
      <c r="L99" s="2173"/>
      <c r="M99" s="2173"/>
      <c r="N99" s="2173"/>
      <c r="O99" s="2173">
        <v>0</v>
      </c>
      <c r="P99" s="2173"/>
      <c r="Q99" s="2173"/>
      <c r="R99" s="2173"/>
      <c r="S99" s="2173"/>
      <c r="T99" s="2173"/>
      <c r="U99" s="2173"/>
      <c r="V99" s="2173">
        <v>0</v>
      </c>
      <c r="W99" s="2173"/>
      <c r="X99" s="2173"/>
      <c r="Y99" s="2173"/>
      <c r="Z99" s="2173"/>
      <c r="AA99" s="2173"/>
      <c r="AB99" s="2173">
        <v>0</v>
      </c>
      <c r="AC99" s="2173"/>
      <c r="AD99" s="2173"/>
      <c r="AE99" s="2173"/>
      <c r="AF99" s="2173"/>
      <c r="AG99" s="2173"/>
      <c r="AH99" s="2174"/>
      <c r="AI99" s="1209"/>
      <c r="AJ99" s="2185"/>
      <c r="AK99" s="2186"/>
      <c r="AL99" s="2186"/>
      <c r="AM99" s="2186"/>
      <c r="AN99" s="2186"/>
      <c r="AO99" s="2186"/>
      <c r="AP99" s="2186"/>
      <c r="AQ99" s="2186"/>
      <c r="AR99" s="2186"/>
      <c r="AS99" s="2186"/>
      <c r="AT99" s="2186"/>
      <c r="AU99" s="2186"/>
      <c r="AV99" s="2186"/>
      <c r="AW99" s="2186"/>
      <c r="AX99" s="2186"/>
      <c r="AY99" s="2207"/>
      <c r="AZ99" s="2207"/>
      <c r="BA99" s="2207"/>
      <c r="BB99" s="2208"/>
      <c r="BC99" s="1209"/>
      <c r="BD99" s="1209"/>
      <c r="BE99" s="1205"/>
    </row>
    <row r="100" spans="1:70" ht="15.75" customHeight="1">
      <c r="A100" s="1209"/>
      <c r="B100" s="2175" t="s">
        <v>2169</v>
      </c>
      <c r="C100" s="2176"/>
      <c r="D100" s="2176"/>
      <c r="E100" s="2176"/>
      <c r="F100" s="2176"/>
      <c r="G100" s="2176"/>
      <c r="H100" s="2176"/>
      <c r="I100" s="2173">
        <v>0</v>
      </c>
      <c r="J100" s="2173"/>
      <c r="K100" s="2173"/>
      <c r="L100" s="2173"/>
      <c r="M100" s="2173"/>
      <c r="N100" s="2173"/>
      <c r="O100" s="2173">
        <v>0</v>
      </c>
      <c r="P100" s="2173"/>
      <c r="Q100" s="2173"/>
      <c r="R100" s="2173"/>
      <c r="S100" s="2173"/>
      <c r="T100" s="2173"/>
      <c r="U100" s="2173"/>
      <c r="V100" s="2173">
        <v>0</v>
      </c>
      <c r="W100" s="2173"/>
      <c r="X100" s="2173"/>
      <c r="Y100" s="2173"/>
      <c r="Z100" s="2173"/>
      <c r="AA100" s="2173"/>
      <c r="AB100" s="2173">
        <v>0</v>
      </c>
      <c r="AC100" s="2173"/>
      <c r="AD100" s="2173"/>
      <c r="AE100" s="2173"/>
      <c r="AF100" s="2173"/>
      <c r="AG100" s="2173"/>
      <c r="AH100" s="2174"/>
      <c r="AI100" s="1209"/>
      <c r="AJ100" s="2187" t="s">
        <v>2484</v>
      </c>
      <c r="AK100" s="2188"/>
      <c r="AL100" s="2188"/>
      <c r="AM100" s="2188"/>
      <c r="AN100" s="2188"/>
      <c r="AO100" s="2188"/>
      <c r="AP100" s="2188"/>
      <c r="AQ100" s="2188"/>
      <c r="AR100" s="2188"/>
      <c r="AS100" s="2188"/>
      <c r="AT100" s="2188"/>
      <c r="AU100" s="2188"/>
      <c r="AV100" s="2188"/>
      <c r="AW100" s="2188"/>
      <c r="AX100" s="2188"/>
      <c r="AY100" s="2188"/>
      <c r="AZ100" s="2188"/>
      <c r="BA100" s="2188"/>
      <c r="BB100" s="2189"/>
      <c r="BC100" s="1209"/>
      <c r="BD100" s="1209"/>
      <c r="BE100" s="1205"/>
    </row>
    <row r="101" spans="1:70" ht="15.75" customHeight="1" thickBot="1">
      <c r="A101" s="1209"/>
      <c r="B101" s="2169" t="s">
        <v>1828</v>
      </c>
      <c r="C101" s="2170"/>
      <c r="D101" s="2170"/>
      <c r="E101" s="2170"/>
      <c r="F101" s="2170"/>
      <c r="G101" s="2170"/>
      <c r="H101" s="2170"/>
      <c r="I101" s="2171">
        <v>0</v>
      </c>
      <c r="J101" s="2171"/>
      <c r="K101" s="2171"/>
      <c r="L101" s="2171"/>
      <c r="M101" s="2171"/>
      <c r="N101" s="2171"/>
      <c r="O101" s="2171">
        <v>0</v>
      </c>
      <c r="P101" s="2171"/>
      <c r="Q101" s="2171"/>
      <c r="R101" s="2171"/>
      <c r="S101" s="2171"/>
      <c r="T101" s="2171"/>
      <c r="U101" s="2171"/>
      <c r="V101" s="2171">
        <v>0</v>
      </c>
      <c r="W101" s="2171"/>
      <c r="X101" s="2171"/>
      <c r="Y101" s="2171"/>
      <c r="Z101" s="2171"/>
      <c r="AA101" s="2171"/>
      <c r="AB101" s="2171">
        <v>0</v>
      </c>
      <c r="AC101" s="2171"/>
      <c r="AD101" s="2171"/>
      <c r="AE101" s="2171"/>
      <c r="AF101" s="2171"/>
      <c r="AG101" s="2171"/>
      <c r="AH101" s="2172"/>
      <c r="AI101" s="1209"/>
      <c r="AJ101" s="2190"/>
      <c r="AK101" s="2191"/>
      <c r="AL101" s="2191"/>
      <c r="AM101" s="2191"/>
      <c r="AN101" s="2191"/>
      <c r="AO101" s="2191"/>
      <c r="AP101" s="2191"/>
      <c r="AQ101" s="2191"/>
      <c r="AR101" s="2191"/>
      <c r="AS101" s="2191"/>
      <c r="AT101" s="2191"/>
      <c r="AU101" s="2191"/>
      <c r="AV101" s="2191"/>
      <c r="AW101" s="2191"/>
      <c r="AX101" s="2191"/>
      <c r="AY101" s="2191"/>
      <c r="AZ101" s="2191"/>
      <c r="BA101" s="2191"/>
      <c r="BB101" s="2192"/>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2612</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1859</v>
      </c>
      <c r="C104" s="1237"/>
      <c r="D104" s="1236"/>
      <c r="E104" s="1235"/>
      <c r="F104" s="2199"/>
      <c r="G104" s="2200"/>
      <c r="H104" s="2200"/>
      <c r="I104" s="2200"/>
      <c r="J104" s="2200"/>
      <c r="K104" s="2200"/>
      <c r="L104" s="2200"/>
      <c r="M104" s="2200"/>
      <c r="N104" s="2200"/>
      <c r="O104" s="2200"/>
      <c r="P104" s="2200"/>
      <c r="Q104" s="2200"/>
      <c r="R104" s="2201"/>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2611</v>
      </c>
      <c r="C105" s="1243"/>
      <c r="D105" s="1242"/>
      <c r="E105" s="1242"/>
      <c r="F105" s="1242"/>
      <c r="G105" s="1242"/>
      <c r="H105" s="1242"/>
      <c r="I105" s="1242"/>
      <c r="J105" s="1242"/>
      <c r="K105" s="1242"/>
      <c r="L105" s="1241"/>
      <c r="M105" s="1242"/>
      <c r="N105" s="1241"/>
      <c r="O105" s="2193" t="e">
        <f>BR98/SUM(BR96:BR98)</f>
        <v>#DIV/0!</v>
      </c>
      <c r="P105" s="2194"/>
      <c r="Q105" s="2194"/>
      <c r="R105" s="2195"/>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0" t="s">
        <v>2610</v>
      </c>
      <c r="C107" s="2181"/>
      <c r="D107" s="2181"/>
      <c r="E107" s="2181"/>
      <c r="F107" s="2181"/>
      <c r="G107" s="2181"/>
      <c r="H107" s="2181"/>
      <c r="I107" s="2181"/>
      <c r="J107" s="2181"/>
      <c r="K107" s="2181"/>
      <c r="L107" s="2181"/>
      <c r="M107" s="2181"/>
      <c r="N107" s="2181"/>
      <c r="O107" s="2181"/>
      <c r="P107" s="2181"/>
      <c r="Q107" s="2181"/>
      <c r="R107" s="2181"/>
      <c r="S107" s="2181"/>
      <c r="T107" s="2181"/>
      <c r="U107" s="2181"/>
      <c r="V107" s="2181"/>
      <c r="W107" s="2181"/>
      <c r="X107" s="2181"/>
      <c r="Y107" s="2181"/>
      <c r="Z107" s="2181"/>
      <c r="AA107" s="2181"/>
      <c r="AB107" s="2181"/>
      <c r="AC107" s="2181"/>
      <c r="AD107" s="2181"/>
      <c r="AE107" s="2181"/>
      <c r="AF107" s="2181"/>
      <c r="AG107" s="2181"/>
      <c r="AH107" s="2182"/>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5"/>
      <c r="C108" s="2176"/>
      <c r="D108" s="2176"/>
      <c r="E108" s="2176"/>
      <c r="F108" s="2176"/>
      <c r="G108" s="2176"/>
      <c r="H108" s="2176"/>
      <c r="I108" s="2176" t="s">
        <v>1825</v>
      </c>
      <c r="J108" s="2176"/>
      <c r="K108" s="2176"/>
      <c r="L108" s="2176"/>
      <c r="M108" s="2176"/>
      <c r="N108" s="2176"/>
      <c r="O108" s="2176" t="s">
        <v>1826</v>
      </c>
      <c r="P108" s="2176"/>
      <c r="Q108" s="2176"/>
      <c r="R108" s="2176"/>
      <c r="S108" s="2176"/>
      <c r="T108" s="2176"/>
      <c r="U108" s="2176"/>
      <c r="V108" s="2177" t="s">
        <v>2185</v>
      </c>
      <c r="W108" s="2177"/>
      <c r="X108" s="2177"/>
      <c r="Y108" s="2177"/>
      <c r="Z108" s="2177"/>
      <c r="AA108" s="2177"/>
      <c r="AB108" s="2178" t="s">
        <v>1827</v>
      </c>
      <c r="AC108" s="2178"/>
      <c r="AD108" s="2178"/>
      <c r="AE108" s="2178"/>
      <c r="AF108" s="2178"/>
      <c r="AG108" s="2178"/>
      <c r="AH108" s="2179"/>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5"/>
      <c r="C109" s="2176"/>
      <c r="D109" s="2176"/>
      <c r="E109" s="2176"/>
      <c r="F109" s="2176"/>
      <c r="G109" s="2176"/>
      <c r="H109" s="2176"/>
      <c r="I109" s="2176"/>
      <c r="J109" s="2176"/>
      <c r="K109" s="2176"/>
      <c r="L109" s="2176"/>
      <c r="M109" s="2176"/>
      <c r="N109" s="2176"/>
      <c r="O109" s="2176"/>
      <c r="P109" s="2176"/>
      <c r="Q109" s="2176"/>
      <c r="R109" s="2176"/>
      <c r="S109" s="2176"/>
      <c r="T109" s="2176"/>
      <c r="U109" s="2176"/>
      <c r="V109" s="2177"/>
      <c r="W109" s="2177"/>
      <c r="X109" s="2177"/>
      <c r="Y109" s="2177"/>
      <c r="Z109" s="2177"/>
      <c r="AA109" s="2177"/>
      <c r="AB109" s="2178"/>
      <c r="AC109" s="2178"/>
      <c r="AD109" s="2178"/>
      <c r="AE109" s="2178"/>
      <c r="AF109" s="2178"/>
      <c r="AG109" s="2178"/>
      <c r="AH109" s="2179"/>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5" t="s">
        <v>2168</v>
      </c>
      <c r="C110" s="2176"/>
      <c r="D110" s="2176"/>
      <c r="E110" s="2176"/>
      <c r="F110" s="2176"/>
      <c r="G110" s="2176"/>
      <c r="H110" s="2176"/>
      <c r="I110" s="2173">
        <v>0</v>
      </c>
      <c r="J110" s="2173"/>
      <c r="K110" s="2173"/>
      <c r="L110" s="2173"/>
      <c r="M110" s="2173"/>
      <c r="N110" s="2173"/>
      <c r="O110" s="2173">
        <v>0</v>
      </c>
      <c r="P110" s="2173"/>
      <c r="Q110" s="2173"/>
      <c r="R110" s="2173"/>
      <c r="S110" s="2173"/>
      <c r="T110" s="2173"/>
      <c r="U110" s="2173"/>
      <c r="V110" s="2173">
        <v>0</v>
      </c>
      <c r="W110" s="2173"/>
      <c r="X110" s="2173"/>
      <c r="Y110" s="2173"/>
      <c r="Z110" s="2173"/>
      <c r="AA110" s="2173"/>
      <c r="AB110" s="2173">
        <v>0</v>
      </c>
      <c r="AC110" s="2173"/>
      <c r="AD110" s="2173"/>
      <c r="AE110" s="2173"/>
      <c r="AF110" s="2173"/>
      <c r="AG110" s="2173"/>
      <c r="AH110" s="2174"/>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5" t="s">
        <v>2169</v>
      </c>
      <c r="C111" s="2176"/>
      <c r="D111" s="2176"/>
      <c r="E111" s="2176"/>
      <c r="F111" s="2176"/>
      <c r="G111" s="2176"/>
      <c r="H111" s="2176"/>
      <c r="I111" s="2173">
        <v>0</v>
      </c>
      <c r="J111" s="2173"/>
      <c r="K111" s="2173"/>
      <c r="L111" s="2173"/>
      <c r="M111" s="2173"/>
      <c r="N111" s="2173"/>
      <c r="O111" s="2173">
        <v>0</v>
      </c>
      <c r="P111" s="2173"/>
      <c r="Q111" s="2173"/>
      <c r="R111" s="2173"/>
      <c r="S111" s="2173"/>
      <c r="T111" s="2173"/>
      <c r="U111" s="2173"/>
      <c r="V111" s="2173">
        <v>0</v>
      </c>
      <c r="W111" s="2173"/>
      <c r="X111" s="2173"/>
      <c r="Y111" s="2173"/>
      <c r="Z111" s="2173"/>
      <c r="AA111" s="2173"/>
      <c r="AB111" s="2173">
        <v>0</v>
      </c>
      <c r="AC111" s="2173"/>
      <c r="AD111" s="2173"/>
      <c r="AE111" s="2173"/>
      <c r="AF111" s="2173"/>
      <c r="AG111" s="2173"/>
      <c r="AH111" s="2174"/>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69" t="s">
        <v>1828</v>
      </c>
      <c r="C112" s="2170"/>
      <c r="D112" s="2170"/>
      <c r="E112" s="2170"/>
      <c r="F112" s="2170"/>
      <c r="G112" s="2170"/>
      <c r="H112" s="2170"/>
      <c r="I112" s="2171">
        <v>0</v>
      </c>
      <c r="J112" s="2171"/>
      <c r="K112" s="2171"/>
      <c r="L112" s="2171"/>
      <c r="M112" s="2171"/>
      <c r="N112" s="2171"/>
      <c r="O112" s="2171">
        <v>0</v>
      </c>
      <c r="P112" s="2171"/>
      <c r="Q112" s="2171"/>
      <c r="R112" s="2171"/>
      <c r="S112" s="2171"/>
      <c r="T112" s="2171"/>
      <c r="U112" s="2171"/>
      <c r="V112" s="2171">
        <v>0</v>
      </c>
      <c r="W112" s="2171"/>
      <c r="X112" s="2171"/>
      <c r="Y112" s="2171"/>
      <c r="Z112" s="2171"/>
      <c r="AA112" s="2171"/>
      <c r="AB112" s="2171">
        <v>0</v>
      </c>
      <c r="AC112" s="2171"/>
      <c r="AD112" s="2171"/>
      <c r="AE112" s="2171"/>
      <c r="AF112" s="2171"/>
      <c r="AG112" s="2171"/>
      <c r="AH112" s="2172"/>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2609</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1859</v>
      </c>
      <c r="C115" s="1237"/>
      <c r="D115" s="1236"/>
      <c r="E115" s="1235"/>
      <c r="F115" s="2199"/>
      <c r="G115" s="2200"/>
      <c r="H115" s="2200"/>
      <c r="I115" s="2200"/>
      <c r="J115" s="2200"/>
      <c r="K115" s="2200"/>
      <c r="L115" s="2200"/>
      <c r="M115" s="2200"/>
      <c r="N115" s="2200"/>
      <c r="O115" s="2200"/>
      <c r="P115" s="2200"/>
      <c r="Q115" s="2200"/>
      <c r="R115" s="2201"/>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3" t="s">
        <v>2485</v>
      </c>
      <c r="C117" s="2184"/>
      <c r="D117" s="2184"/>
      <c r="E117" s="2184"/>
      <c r="F117" s="2184"/>
      <c r="G117" s="2184"/>
      <c r="H117" s="2184"/>
      <c r="I117" s="2184"/>
      <c r="J117" s="2184"/>
      <c r="K117" s="2184"/>
      <c r="L117" s="2184"/>
      <c r="M117" s="2184"/>
      <c r="N117" s="2184"/>
      <c r="O117" s="2184"/>
      <c r="P117" s="2184"/>
      <c r="Q117" s="2205" t="s">
        <v>553</v>
      </c>
      <c r="R117" s="2205"/>
      <c r="S117" s="2205"/>
      <c r="T117" s="2206"/>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5"/>
      <c r="C118" s="2186"/>
      <c r="D118" s="2186"/>
      <c r="E118" s="2186"/>
      <c r="F118" s="2186"/>
      <c r="G118" s="2186"/>
      <c r="H118" s="2186"/>
      <c r="I118" s="2186"/>
      <c r="J118" s="2186"/>
      <c r="K118" s="2186"/>
      <c r="L118" s="2186"/>
      <c r="M118" s="2186"/>
      <c r="N118" s="2186"/>
      <c r="O118" s="2186"/>
      <c r="P118" s="2186"/>
      <c r="Q118" s="2207"/>
      <c r="R118" s="2207"/>
      <c r="S118" s="2207"/>
      <c r="T118" s="2208"/>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5"/>
      <c r="C119" s="2186"/>
      <c r="D119" s="2186"/>
      <c r="E119" s="2186"/>
      <c r="F119" s="2186"/>
      <c r="G119" s="2186"/>
      <c r="H119" s="2186"/>
      <c r="I119" s="2186"/>
      <c r="J119" s="2186"/>
      <c r="K119" s="2186"/>
      <c r="L119" s="2186"/>
      <c r="M119" s="2186"/>
      <c r="N119" s="2186"/>
      <c r="O119" s="2186"/>
      <c r="P119" s="2186"/>
      <c r="Q119" s="2207"/>
      <c r="R119" s="2207"/>
      <c r="S119" s="2207"/>
      <c r="T119" s="2208"/>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5"/>
      <c r="C120" s="2186"/>
      <c r="D120" s="2186"/>
      <c r="E120" s="2186"/>
      <c r="F120" s="2186"/>
      <c r="G120" s="2186"/>
      <c r="H120" s="2186"/>
      <c r="I120" s="2186"/>
      <c r="J120" s="2186"/>
      <c r="K120" s="2186"/>
      <c r="L120" s="2186"/>
      <c r="M120" s="2186"/>
      <c r="N120" s="2186"/>
      <c r="O120" s="2186"/>
      <c r="P120" s="2186"/>
      <c r="Q120" s="2207"/>
      <c r="R120" s="2207"/>
      <c r="S120" s="2207"/>
      <c r="T120" s="2208"/>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7" t="s">
        <v>2186</v>
      </c>
      <c r="C121" s="2188"/>
      <c r="D121" s="2188"/>
      <c r="E121" s="2188"/>
      <c r="F121" s="2188"/>
      <c r="G121" s="2188"/>
      <c r="H121" s="2188"/>
      <c r="I121" s="2188"/>
      <c r="J121" s="2188"/>
      <c r="K121" s="2188"/>
      <c r="L121" s="2188"/>
      <c r="M121" s="2188"/>
      <c r="N121" s="2188"/>
      <c r="O121" s="2188"/>
      <c r="P121" s="2188"/>
      <c r="Q121" s="2188"/>
      <c r="R121" s="2188"/>
      <c r="S121" s="2188"/>
      <c r="T121" s="2189"/>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0"/>
      <c r="C122" s="2191"/>
      <c r="D122" s="2191"/>
      <c r="E122" s="2191"/>
      <c r="F122" s="2191"/>
      <c r="G122" s="2191"/>
      <c r="H122" s="2191"/>
      <c r="I122" s="2191"/>
      <c r="J122" s="2191"/>
      <c r="K122" s="2191"/>
      <c r="L122" s="2191"/>
      <c r="M122" s="2191"/>
      <c r="N122" s="2191"/>
      <c r="O122" s="2191"/>
      <c r="P122" s="2191"/>
      <c r="Q122" s="2191"/>
      <c r="R122" s="2191"/>
      <c r="S122" s="2191"/>
      <c r="T122" s="2192"/>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1829</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3" t="s">
        <v>2170</v>
      </c>
      <c r="Y125" s="2184"/>
      <c r="Z125" s="2184"/>
      <c r="AA125" s="2184"/>
      <c r="AB125" s="2184"/>
      <c r="AC125" s="2184"/>
      <c r="AD125" s="2184"/>
      <c r="AE125" s="2184"/>
      <c r="AF125" s="2184"/>
      <c r="AG125" s="2184"/>
      <c r="AH125" s="2184"/>
      <c r="AI125" s="2184"/>
      <c r="AJ125" s="2184"/>
      <c r="AK125" s="2184"/>
      <c r="AL125" s="2184"/>
      <c r="AM125" s="2184"/>
      <c r="AN125" s="2184"/>
      <c r="AO125" s="2184"/>
      <c r="AP125" s="2184"/>
      <c r="AQ125" s="2184"/>
      <c r="AR125" s="2184"/>
      <c r="AS125" s="2184"/>
      <c r="AT125" s="2184"/>
      <c r="AU125" s="2184"/>
      <c r="AV125" s="2184"/>
      <c r="AW125" s="2184"/>
      <c r="AX125" s="2184"/>
      <c r="AY125" s="2184"/>
      <c r="AZ125" s="2184"/>
      <c r="BA125" s="2184"/>
      <c r="BB125" s="2184"/>
      <c r="BC125" s="2184"/>
      <c r="BD125" s="2431"/>
      <c r="BE125" s="1205"/>
    </row>
    <row r="126" spans="1:57" ht="15.75" customHeight="1">
      <c r="A126" s="1209"/>
      <c r="B126" s="2433" t="s">
        <v>1688</v>
      </c>
      <c r="C126" s="2434"/>
      <c r="D126" s="2434"/>
      <c r="E126" s="2434"/>
      <c r="F126" s="2434"/>
      <c r="G126" s="2434"/>
      <c r="H126" s="2434"/>
      <c r="I126" s="2434"/>
      <c r="J126" s="2434"/>
      <c r="K126" s="2434"/>
      <c r="L126" s="2434"/>
      <c r="M126" s="2434"/>
      <c r="N126" s="2434"/>
      <c r="O126" s="2434"/>
      <c r="P126" s="2434"/>
      <c r="Q126" s="2434"/>
      <c r="R126" s="2434"/>
      <c r="S126" s="2434"/>
      <c r="T126" s="2434"/>
      <c r="U126" s="2435"/>
      <c r="V126" s="1209"/>
      <c r="W126" s="1209"/>
      <c r="X126" s="2185"/>
      <c r="Y126" s="2186"/>
      <c r="Z126" s="2186"/>
      <c r="AA126" s="2186"/>
      <c r="AB126" s="2186"/>
      <c r="AC126" s="2186"/>
      <c r="AD126" s="2186"/>
      <c r="AE126" s="2186"/>
      <c r="AF126" s="2186"/>
      <c r="AG126" s="2186"/>
      <c r="AH126" s="2186"/>
      <c r="AI126" s="2186"/>
      <c r="AJ126" s="2186"/>
      <c r="AK126" s="2186"/>
      <c r="AL126" s="2186"/>
      <c r="AM126" s="2186"/>
      <c r="AN126" s="2186"/>
      <c r="AO126" s="2186"/>
      <c r="AP126" s="2186"/>
      <c r="AQ126" s="2186"/>
      <c r="AR126" s="2186"/>
      <c r="AS126" s="2186"/>
      <c r="AT126" s="2186"/>
      <c r="AU126" s="2186"/>
      <c r="AV126" s="2186"/>
      <c r="AW126" s="2186"/>
      <c r="AX126" s="2186"/>
      <c r="AY126" s="2186"/>
      <c r="AZ126" s="2186"/>
      <c r="BA126" s="2186"/>
      <c r="BB126" s="2186"/>
      <c r="BC126" s="2186"/>
      <c r="BD126" s="2432"/>
      <c r="BE126" s="1205"/>
    </row>
    <row r="127" spans="1:57" ht="15.75" customHeight="1">
      <c r="A127" s="1209"/>
      <c r="B127" s="2396"/>
      <c r="C127" s="2397"/>
      <c r="D127" s="2397"/>
      <c r="E127" s="2397"/>
      <c r="F127" s="2397"/>
      <c r="G127" s="2397"/>
      <c r="H127" s="2397"/>
      <c r="I127" s="2176" t="s">
        <v>2171</v>
      </c>
      <c r="J127" s="2176"/>
      <c r="K127" s="2176"/>
      <c r="L127" s="2176"/>
      <c r="M127" s="2176"/>
      <c r="N127" s="2176"/>
      <c r="O127" s="2436" t="s">
        <v>2172</v>
      </c>
      <c r="P127" s="2436"/>
      <c r="Q127" s="2436"/>
      <c r="R127" s="2436"/>
      <c r="S127" s="2436"/>
      <c r="T127" s="2436"/>
      <c r="U127" s="2437"/>
      <c r="V127" s="1209"/>
      <c r="W127" s="1209"/>
      <c r="X127" s="2399" t="s">
        <v>2184</v>
      </c>
      <c r="Y127" s="2400"/>
      <c r="Z127" s="2400"/>
      <c r="AA127" s="2400"/>
      <c r="AB127" s="2400"/>
      <c r="AC127" s="2400"/>
      <c r="AD127" s="2400"/>
      <c r="AE127" s="2400"/>
      <c r="AF127" s="2400"/>
      <c r="AG127" s="2400"/>
      <c r="AH127" s="2400"/>
      <c r="AI127" s="2400"/>
      <c r="AJ127" s="2400"/>
      <c r="AK127" s="2400"/>
      <c r="AL127" s="2400"/>
      <c r="AM127" s="2400"/>
      <c r="AN127" s="2400"/>
      <c r="AO127" s="2400"/>
      <c r="AP127" s="2400"/>
      <c r="AQ127" s="2400"/>
      <c r="AR127" s="2400"/>
      <c r="AS127" s="2400"/>
      <c r="AT127" s="2400"/>
      <c r="AU127" s="2400"/>
      <c r="AV127" s="2400"/>
      <c r="AW127" s="2400"/>
      <c r="AX127" s="2400"/>
      <c r="AY127" s="2400"/>
      <c r="AZ127" s="2400"/>
      <c r="BA127" s="2400"/>
      <c r="BB127" s="2400"/>
      <c r="BC127" s="2400"/>
      <c r="BD127" s="2401"/>
      <c r="BE127" s="1205"/>
    </row>
    <row r="128" spans="1:57" ht="15.75" customHeight="1">
      <c r="A128" s="1209"/>
      <c r="B128" s="2413" t="s">
        <v>2173</v>
      </c>
      <c r="C128" s="2414"/>
      <c r="D128" s="2414"/>
      <c r="E128" s="2414"/>
      <c r="F128" s="2414"/>
      <c r="G128" s="2414"/>
      <c r="H128" s="2414"/>
      <c r="I128" s="2173">
        <v>0</v>
      </c>
      <c r="J128" s="2173"/>
      <c r="K128" s="2173"/>
      <c r="L128" s="2173"/>
      <c r="M128" s="2173"/>
      <c r="N128" s="2173"/>
      <c r="O128" s="2173">
        <v>0</v>
      </c>
      <c r="P128" s="2173"/>
      <c r="Q128" s="2173"/>
      <c r="R128" s="2173"/>
      <c r="S128" s="2173"/>
      <c r="T128" s="2173"/>
      <c r="U128" s="2174"/>
      <c r="V128" s="1209"/>
      <c r="W128" s="1209"/>
      <c r="X128" s="2399"/>
      <c r="Y128" s="2400"/>
      <c r="Z128" s="2400"/>
      <c r="AA128" s="2400"/>
      <c r="AB128" s="2400"/>
      <c r="AC128" s="2400"/>
      <c r="AD128" s="2400"/>
      <c r="AE128" s="2400"/>
      <c r="AF128" s="2400"/>
      <c r="AG128" s="2400"/>
      <c r="AH128" s="2400"/>
      <c r="AI128" s="2400"/>
      <c r="AJ128" s="2400"/>
      <c r="AK128" s="2400"/>
      <c r="AL128" s="2400"/>
      <c r="AM128" s="2400"/>
      <c r="AN128" s="2400"/>
      <c r="AO128" s="2400"/>
      <c r="AP128" s="2400"/>
      <c r="AQ128" s="2400"/>
      <c r="AR128" s="2400"/>
      <c r="AS128" s="2400"/>
      <c r="AT128" s="2400"/>
      <c r="AU128" s="2400"/>
      <c r="AV128" s="2400"/>
      <c r="AW128" s="2400"/>
      <c r="AX128" s="2400"/>
      <c r="AY128" s="2400"/>
      <c r="AZ128" s="2400"/>
      <c r="BA128" s="2400"/>
      <c r="BB128" s="2400"/>
      <c r="BC128" s="2400"/>
      <c r="BD128" s="2401"/>
      <c r="BE128" s="1205"/>
    </row>
    <row r="129" spans="1:57" ht="15.75" customHeight="1" thickBot="1">
      <c r="A129" s="1209"/>
      <c r="B129" s="2415" t="s">
        <v>2174</v>
      </c>
      <c r="C129" s="2416"/>
      <c r="D129" s="2416"/>
      <c r="E129" s="2416"/>
      <c r="F129" s="2416"/>
      <c r="G129" s="2416"/>
      <c r="H129" s="2416"/>
      <c r="I129" s="2171">
        <v>0</v>
      </c>
      <c r="J129" s="2171"/>
      <c r="K129" s="2171"/>
      <c r="L129" s="2171"/>
      <c r="M129" s="2171"/>
      <c r="N129" s="2171"/>
      <c r="O129" s="2438"/>
      <c r="P129" s="2438"/>
      <c r="Q129" s="2438"/>
      <c r="R129" s="2438"/>
      <c r="S129" s="2438"/>
      <c r="T129" s="2438"/>
      <c r="U129" s="2439"/>
      <c r="V129" s="1209"/>
      <c r="W129" s="1209"/>
      <c r="X129" s="2399"/>
      <c r="Y129" s="2400"/>
      <c r="Z129" s="2400"/>
      <c r="AA129" s="2400"/>
      <c r="AB129" s="2400"/>
      <c r="AC129" s="2400"/>
      <c r="AD129" s="2400"/>
      <c r="AE129" s="2400"/>
      <c r="AF129" s="2400"/>
      <c r="AG129" s="2400"/>
      <c r="AH129" s="2400"/>
      <c r="AI129" s="2400"/>
      <c r="AJ129" s="2400"/>
      <c r="AK129" s="2400"/>
      <c r="AL129" s="2400"/>
      <c r="AM129" s="2400"/>
      <c r="AN129" s="2400"/>
      <c r="AO129" s="2400"/>
      <c r="AP129" s="2400"/>
      <c r="AQ129" s="2400"/>
      <c r="AR129" s="2400"/>
      <c r="AS129" s="2400"/>
      <c r="AT129" s="2400"/>
      <c r="AU129" s="2400"/>
      <c r="AV129" s="2400"/>
      <c r="AW129" s="2400"/>
      <c r="AX129" s="2400"/>
      <c r="AY129" s="2400"/>
      <c r="AZ129" s="2400"/>
      <c r="BA129" s="2400"/>
      <c r="BB129" s="2400"/>
      <c r="BC129" s="2400"/>
      <c r="BD129" s="2401"/>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9"/>
      <c r="Y130" s="2400"/>
      <c r="Z130" s="2400"/>
      <c r="AA130" s="2400"/>
      <c r="AB130" s="2400"/>
      <c r="AC130" s="2400"/>
      <c r="AD130" s="2400"/>
      <c r="AE130" s="2400"/>
      <c r="AF130" s="2400"/>
      <c r="AG130" s="2400"/>
      <c r="AH130" s="2400"/>
      <c r="AI130" s="2400"/>
      <c r="AJ130" s="2400"/>
      <c r="AK130" s="2400"/>
      <c r="AL130" s="2400"/>
      <c r="AM130" s="2400"/>
      <c r="AN130" s="2400"/>
      <c r="AO130" s="2400"/>
      <c r="AP130" s="2400"/>
      <c r="AQ130" s="2400"/>
      <c r="AR130" s="2400"/>
      <c r="AS130" s="2400"/>
      <c r="AT130" s="2400"/>
      <c r="AU130" s="2400"/>
      <c r="AV130" s="2400"/>
      <c r="AW130" s="2400"/>
      <c r="AX130" s="2400"/>
      <c r="AY130" s="2400"/>
      <c r="AZ130" s="2400"/>
      <c r="BA130" s="2400"/>
      <c r="BB130" s="2400"/>
      <c r="BC130" s="2400"/>
      <c r="BD130" s="2401"/>
      <c r="BE130" s="1205"/>
    </row>
    <row r="131" spans="1:57" ht="15.75" customHeight="1" thickBot="1">
      <c r="A131" s="1209"/>
      <c r="B131" s="1231" t="s">
        <v>1830</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9"/>
      <c r="Y131" s="2400"/>
      <c r="Z131" s="2400"/>
      <c r="AA131" s="2400"/>
      <c r="AB131" s="2400"/>
      <c r="AC131" s="2400"/>
      <c r="AD131" s="2400"/>
      <c r="AE131" s="2400"/>
      <c r="AF131" s="2400"/>
      <c r="AG131" s="2400"/>
      <c r="AH131" s="2400"/>
      <c r="AI131" s="2400"/>
      <c r="AJ131" s="2400"/>
      <c r="AK131" s="2400"/>
      <c r="AL131" s="2400"/>
      <c r="AM131" s="2400"/>
      <c r="AN131" s="2400"/>
      <c r="AO131" s="2400"/>
      <c r="AP131" s="2400"/>
      <c r="AQ131" s="2400"/>
      <c r="AR131" s="2400"/>
      <c r="AS131" s="2400"/>
      <c r="AT131" s="2400"/>
      <c r="AU131" s="2400"/>
      <c r="AV131" s="2400"/>
      <c r="AW131" s="2400"/>
      <c r="AX131" s="2400"/>
      <c r="AY131" s="2400"/>
      <c r="AZ131" s="2400"/>
      <c r="BA131" s="2400"/>
      <c r="BB131" s="2400"/>
      <c r="BC131" s="2400"/>
      <c r="BD131" s="2401"/>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9"/>
      <c r="Y132" s="2400"/>
      <c r="Z132" s="2400"/>
      <c r="AA132" s="2400"/>
      <c r="AB132" s="2400"/>
      <c r="AC132" s="2400"/>
      <c r="AD132" s="2400"/>
      <c r="AE132" s="2400"/>
      <c r="AF132" s="2400"/>
      <c r="AG132" s="2400"/>
      <c r="AH132" s="2400"/>
      <c r="AI132" s="2400"/>
      <c r="AJ132" s="2400"/>
      <c r="AK132" s="2400"/>
      <c r="AL132" s="2400"/>
      <c r="AM132" s="2400"/>
      <c r="AN132" s="2400"/>
      <c r="AO132" s="2400"/>
      <c r="AP132" s="2400"/>
      <c r="AQ132" s="2400"/>
      <c r="AR132" s="2400"/>
      <c r="AS132" s="2400"/>
      <c r="AT132" s="2400"/>
      <c r="AU132" s="2400"/>
      <c r="AV132" s="2400"/>
      <c r="AW132" s="2400"/>
      <c r="AX132" s="2400"/>
      <c r="AY132" s="2400"/>
      <c r="AZ132" s="2400"/>
      <c r="BA132" s="2400"/>
      <c r="BB132" s="2400"/>
      <c r="BC132" s="2400"/>
      <c r="BD132" s="2401"/>
      <c r="BE132" s="1205"/>
    </row>
    <row r="133" spans="1:57" ht="15.75" customHeight="1">
      <c r="A133" s="1209"/>
      <c r="B133" s="2428" t="s">
        <v>1831</v>
      </c>
      <c r="C133" s="2429"/>
      <c r="D133" s="2429"/>
      <c r="E133" s="2429"/>
      <c r="F133" s="2429"/>
      <c r="G133" s="2429"/>
      <c r="H133" s="2429"/>
      <c r="I133" s="2429"/>
      <c r="J133" s="2429"/>
      <c r="K133" s="2429"/>
      <c r="L133" s="2429"/>
      <c r="M133" s="2429"/>
      <c r="N133" s="2429"/>
      <c r="O133" s="2429"/>
      <c r="P133" s="2429"/>
      <c r="Q133" s="2429"/>
      <c r="R133" s="2429"/>
      <c r="S133" s="2429"/>
      <c r="T133" s="2429"/>
      <c r="U133" s="2430"/>
      <c r="V133" s="1209"/>
      <c r="W133" s="1209"/>
      <c r="X133" s="2399"/>
      <c r="Y133" s="2400"/>
      <c r="Z133" s="2400"/>
      <c r="AA133" s="2400"/>
      <c r="AB133" s="2400"/>
      <c r="AC133" s="2400"/>
      <c r="AD133" s="2400"/>
      <c r="AE133" s="2400"/>
      <c r="AF133" s="2400"/>
      <c r="AG133" s="2400"/>
      <c r="AH133" s="2400"/>
      <c r="AI133" s="2400"/>
      <c r="AJ133" s="2400"/>
      <c r="AK133" s="2400"/>
      <c r="AL133" s="2400"/>
      <c r="AM133" s="2400"/>
      <c r="AN133" s="2400"/>
      <c r="AO133" s="2400"/>
      <c r="AP133" s="2400"/>
      <c r="AQ133" s="2400"/>
      <c r="AR133" s="2400"/>
      <c r="AS133" s="2400"/>
      <c r="AT133" s="2400"/>
      <c r="AU133" s="2400"/>
      <c r="AV133" s="2400"/>
      <c r="AW133" s="2400"/>
      <c r="AX133" s="2400"/>
      <c r="AY133" s="2400"/>
      <c r="AZ133" s="2400"/>
      <c r="BA133" s="2400"/>
      <c r="BB133" s="2400"/>
      <c r="BC133" s="2400"/>
      <c r="BD133" s="2401"/>
      <c r="BE133" s="1205"/>
    </row>
    <row r="134" spans="1:57" ht="15.75" customHeight="1">
      <c r="A134" s="1209"/>
      <c r="B134" s="2396"/>
      <c r="C134" s="2397"/>
      <c r="D134" s="2397"/>
      <c r="E134" s="2397"/>
      <c r="F134" s="2397"/>
      <c r="G134" s="2397"/>
      <c r="H134" s="2397"/>
      <c r="I134" s="2411" t="s">
        <v>1826</v>
      </c>
      <c r="J134" s="2411"/>
      <c r="K134" s="2411"/>
      <c r="L134" s="2411"/>
      <c r="M134" s="2411"/>
      <c r="N134" s="2411"/>
      <c r="O134" s="2411"/>
      <c r="P134" s="2411" t="s">
        <v>2185</v>
      </c>
      <c r="Q134" s="2411"/>
      <c r="R134" s="2411"/>
      <c r="S134" s="2411"/>
      <c r="T134" s="2411"/>
      <c r="U134" s="2412"/>
      <c r="V134" s="1209"/>
      <c r="W134" s="1209"/>
      <c r="X134" s="2399"/>
      <c r="Y134" s="2400"/>
      <c r="Z134" s="2400"/>
      <c r="AA134" s="2400"/>
      <c r="AB134" s="2400"/>
      <c r="AC134" s="2400"/>
      <c r="AD134" s="2400"/>
      <c r="AE134" s="2400"/>
      <c r="AF134" s="2400"/>
      <c r="AG134" s="2400"/>
      <c r="AH134" s="2400"/>
      <c r="AI134" s="2400"/>
      <c r="AJ134" s="2400"/>
      <c r="AK134" s="2400"/>
      <c r="AL134" s="2400"/>
      <c r="AM134" s="2400"/>
      <c r="AN134" s="2400"/>
      <c r="AO134" s="2400"/>
      <c r="AP134" s="2400"/>
      <c r="AQ134" s="2400"/>
      <c r="AR134" s="2400"/>
      <c r="AS134" s="2400"/>
      <c r="AT134" s="2400"/>
      <c r="AU134" s="2400"/>
      <c r="AV134" s="2400"/>
      <c r="AW134" s="2400"/>
      <c r="AX134" s="2400"/>
      <c r="AY134" s="2400"/>
      <c r="AZ134" s="2400"/>
      <c r="BA134" s="2400"/>
      <c r="BB134" s="2400"/>
      <c r="BC134" s="2400"/>
      <c r="BD134" s="2401"/>
      <c r="BE134" s="1205"/>
    </row>
    <row r="135" spans="1:57" ht="15.75" customHeight="1">
      <c r="A135" s="1209"/>
      <c r="B135" s="2396"/>
      <c r="C135" s="2397"/>
      <c r="D135" s="2397"/>
      <c r="E135" s="2397"/>
      <c r="F135" s="2397"/>
      <c r="G135" s="2397"/>
      <c r="H135" s="2397"/>
      <c r="I135" s="2411"/>
      <c r="J135" s="2411"/>
      <c r="K135" s="2411"/>
      <c r="L135" s="2411"/>
      <c r="M135" s="2411"/>
      <c r="N135" s="2411"/>
      <c r="O135" s="2411"/>
      <c r="P135" s="2411"/>
      <c r="Q135" s="2411"/>
      <c r="R135" s="2411"/>
      <c r="S135" s="2411"/>
      <c r="T135" s="2411"/>
      <c r="U135" s="2412"/>
      <c r="V135" s="1209"/>
      <c r="W135" s="1209"/>
      <c r="X135" s="2399"/>
      <c r="Y135" s="2400"/>
      <c r="Z135" s="2400"/>
      <c r="AA135" s="2400"/>
      <c r="AB135" s="2400"/>
      <c r="AC135" s="2400"/>
      <c r="AD135" s="2400"/>
      <c r="AE135" s="2400"/>
      <c r="AF135" s="2400"/>
      <c r="AG135" s="2400"/>
      <c r="AH135" s="2400"/>
      <c r="AI135" s="2400"/>
      <c r="AJ135" s="2400"/>
      <c r="AK135" s="2400"/>
      <c r="AL135" s="2400"/>
      <c r="AM135" s="2400"/>
      <c r="AN135" s="2400"/>
      <c r="AO135" s="2400"/>
      <c r="AP135" s="2400"/>
      <c r="AQ135" s="2400"/>
      <c r="AR135" s="2400"/>
      <c r="AS135" s="2400"/>
      <c r="AT135" s="2400"/>
      <c r="AU135" s="2400"/>
      <c r="AV135" s="2400"/>
      <c r="AW135" s="2400"/>
      <c r="AX135" s="2400"/>
      <c r="AY135" s="2400"/>
      <c r="AZ135" s="2400"/>
      <c r="BA135" s="2400"/>
      <c r="BB135" s="2400"/>
      <c r="BC135" s="2400"/>
      <c r="BD135" s="2401"/>
      <c r="BE135" s="1205"/>
    </row>
    <row r="136" spans="1:57" ht="15.75" customHeight="1">
      <c r="A136" s="1209"/>
      <c r="B136" s="2413" t="s">
        <v>2173</v>
      </c>
      <c r="C136" s="2414"/>
      <c r="D136" s="2414"/>
      <c r="E136" s="2414"/>
      <c r="F136" s="2414"/>
      <c r="G136" s="2414"/>
      <c r="H136" s="2414"/>
      <c r="I136" s="2173">
        <v>0</v>
      </c>
      <c r="J136" s="2173"/>
      <c r="K136" s="2173"/>
      <c r="L136" s="2173"/>
      <c r="M136" s="2173"/>
      <c r="N136" s="2173"/>
      <c r="O136" s="2173"/>
      <c r="P136" s="2173">
        <v>0</v>
      </c>
      <c r="Q136" s="2173"/>
      <c r="R136" s="2173"/>
      <c r="S136" s="2173"/>
      <c r="T136" s="2173"/>
      <c r="U136" s="2174"/>
      <c r="V136" s="1209"/>
      <c r="W136" s="1209"/>
      <c r="X136" s="2399"/>
      <c r="Y136" s="2400"/>
      <c r="Z136" s="2400"/>
      <c r="AA136" s="2400"/>
      <c r="AB136" s="2400"/>
      <c r="AC136" s="2400"/>
      <c r="AD136" s="2400"/>
      <c r="AE136" s="2400"/>
      <c r="AF136" s="2400"/>
      <c r="AG136" s="2400"/>
      <c r="AH136" s="2400"/>
      <c r="AI136" s="2400"/>
      <c r="AJ136" s="2400"/>
      <c r="AK136" s="2400"/>
      <c r="AL136" s="2400"/>
      <c r="AM136" s="2400"/>
      <c r="AN136" s="2400"/>
      <c r="AO136" s="2400"/>
      <c r="AP136" s="2400"/>
      <c r="AQ136" s="2400"/>
      <c r="AR136" s="2400"/>
      <c r="AS136" s="2400"/>
      <c r="AT136" s="2400"/>
      <c r="AU136" s="2400"/>
      <c r="AV136" s="2400"/>
      <c r="AW136" s="2400"/>
      <c r="AX136" s="2400"/>
      <c r="AY136" s="2400"/>
      <c r="AZ136" s="2400"/>
      <c r="BA136" s="2400"/>
      <c r="BB136" s="2400"/>
      <c r="BC136" s="2400"/>
      <c r="BD136" s="2401"/>
      <c r="BE136" s="1205"/>
    </row>
    <row r="137" spans="1:57" ht="15.75" customHeight="1" thickBot="1">
      <c r="A137" s="1209"/>
      <c r="B137" s="2415" t="s">
        <v>2174</v>
      </c>
      <c r="C137" s="2416"/>
      <c r="D137" s="2416"/>
      <c r="E137" s="2416"/>
      <c r="F137" s="2416"/>
      <c r="G137" s="2416"/>
      <c r="H137" s="2416"/>
      <c r="I137" s="2171">
        <v>0</v>
      </c>
      <c r="J137" s="2171"/>
      <c r="K137" s="2171"/>
      <c r="L137" s="2171"/>
      <c r="M137" s="2171"/>
      <c r="N137" s="2171"/>
      <c r="O137" s="2171"/>
      <c r="P137" s="2171">
        <v>0</v>
      </c>
      <c r="Q137" s="2171"/>
      <c r="R137" s="2171"/>
      <c r="S137" s="2171"/>
      <c r="T137" s="2171"/>
      <c r="U137" s="2172"/>
      <c r="V137" s="1209"/>
      <c r="W137" s="1209"/>
      <c r="X137" s="2402"/>
      <c r="Y137" s="2403"/>
      <c r="Z137" s="2403"/>
      <c r="AA137" s="2403"/>
      <c r="AB137" s="2403"/>
      <c r="AC137" s="2403"/>
      <c r="AD137" s="2403"/>
      <c r="AE137" s="2403"/>
      <c r="AF137" s="2403"/>
      <c r="AG137" s="2403"/>
      <c r="AH137" s="2403"/>
      <c r="AI137" s="2403"/>
      <c r="AJ137" s="2403"/>
      <c r="AK137" s="2403"/>
      <c r="AL137" s="2403"/>
      <c r="AM137" s="2403"/>
      <c r="AN137" s="2403"/>
      <c r="AO137" s="2403"/>
      <c r="AP137" s="2403"/>
      <c r="AQ137" s="2403"/>
      <c r="AR137" s="2403"/>
      <c r="AS137" s="2403"/>
      <c r="AT137" s="2403"/>
      <c r="AU137" s="2403"/>
      <c r="AV137" s="2403"/>
      <c r="AW137" s="2403"/>
      <c r="AX137" s="2403"/>
      <c r="AY137" s="2403"/>
      <c r="AZ137" s="2403"/>
      <c r="BA137" s="2403"/>
      <c r="BB137" s="2403"/>
      <c r="BC137" s="2403"/>
      <c r="BD137" s="2404"/>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3" t="s">
        <v>1832</v>
      </c>
      <c r="C139" s="2394"/>
      <c r="D139" s="2394"/>
      <c r="E139" s="2394"/>
      <c r="F139" s="2394"/>
      <c r="G139" s="2394"/>
      <c r="H139" s="2394"/>
      <c r="I139" s="2394"/>
      <c r="J139" s="2394"/>
      <c r="K139" s="2394"/>
      <c r="L139" s="2394"/>
      <c r="M139" s="2394"/>
      <c r="N139" s="2394"/>
      <c r="O139" s="2394"/>
      <c r="P139" s="2394"/>
      <c r="Q139" s="2394"/>
      <c r="R139" s="2394"/>
      <c r="S139" s="2394"/>
      <c r="T139" s="2394"/>
      <c r="U139" s="2394"/>
      <c r="V139" s="2394"/>
      <c r="W139" s="2394"/>
      <c r="X139" s="2394"/>
      <c r="Y139" s="2394"/>
      <c r="Z139" s="2394"/>
      <c r="AA139" s="2394"/>
      <c r="AB139" s="2394"/>
      <c r="AC139" s="2394"/>
      <c r="AD139" s="2394"/>
      <c r="AE139" s="2394"/>
      <c r="AF139" s="2394"/>
      <c r="AG139" s="2394"/>
      <c r="AH139" s="2232" t="s">
        <v>553</v>
      </c>
      <c r="AI139" s="2232"/>
      <c r="AJ139" s="2232"/>
      <c r="AK139" s="2232"/>
      <c r="AL139" s="2232"/>
      <c r="AM139" s="2232"/>
      <c r="AN139" s="2232"/>
      <c r="AO139" s="2232"/>
      <c r="AP139" s="2232"/>
      <c r="AQ139" s="2232"/>
      <c r="AR139" s="2232"/>
      <c r="AS139" s="2232"/>
      <c r="AT139" s="2232"/>
      <c r="AU139" s="2232"/>
      <c r="AV139" s="2232"/>
      <c r="AW139" s="2232"/>
      <c r="AX139" s="2233"/>
      <c r="AY139" s="1209"/>
      <c r="AZ139" s="1209"/>
      <c r="BA139" s="1209"/>
      <c r="BB139" s="1209"/>
      <c r="BC139" s="1209"/>
      <c r="BD139" s="1209"/>
      <c r="BE139" s="1205"/>
    </row>
    <row r="140" spans="1:57" ht="15.75" customHeight="1">
      <c r="A140" s="1209"/>
      <c r="B140" s="2418" t="s">
        <v>1833</v>
      </c>
      <c r="C140" s="2419"/>
      <c r="D140" s="2419"/>
      <c r="E140" s="2419"/>
      <c r="F140" s="2419"/>
      <c r="G140" s="2419"/>
      <c r="H140" s="2419"/>
      <c r="I140" s="2419"/>
      <c r="J140" s="2419"/>
      <c r="K140" s="2419"/>
      <c r="L140" s="2419"/>
      <c r="M140" s="2419"/>
      <c r="N140" s="2419"/>
      <c r="O140" s="2419"/>
      <c r="P140" s="2419"/>
      <c r="Q140" s="2419"/>
      <c r="R140" s="2420" t="s">
        <v>2187</v>
      </c>
      <c r="S140" s="2420"/>
      <c r="T140" s="2420"/>
      <c r="U140" s="2420"/>
      <c r="V140" s="2420"/>
      <c r="W140" s="2420"/>
      <c r="X140" s="2420"/>
      <c r="Y140" s="2420"/>
      <c r="Z140" s="2420"/>
      <c r="AA140" s="2420"/>
      <c r="AB140" s="2420"/>
      <c r="AC140" s="2420"/>
      <c r="AD140" s="2420"/>
      <c r="AE140" s="2420"/>
      <c r="AF140" s="2420"/>
      <c r="AG140" s="2420"/>
      <c r="AH140" s="2420"/>
      <c r="AI140" s="2420"/>
      <c r="AJ140" s="2420"/>
      <c r="AK140" s="2420"/>
      <c r="AL140" s="2420"/>
      <c r="AM140" s="2420"/>
      <c r="AN140" s="2420"/>
      <c r="AO140" s="2420"/>
      <c r="AP140" s="2420"/>
      <c r="AQ140" s="2420"/>
      <c r="AR140" s="2420"/>
      <c r="AS140" s="2420"/>
      <c r="AT140" s="2420"/>
      <c r="AU140" s="2420"/>
      <c r="AV140" s="2420"/>
      <c r="AW140" s="2420"/>
      <c r="AX140" s="2421"/>
      <c r="AY140" s="1209"/>
      <c r="AZ140" s="1209"/>
      <c r="BA140" s="1209"/>
      <c r="BB140" s="1209"/>
      <c r="BC140" s="1209" t="s">
        <v>251</v>
      </c>
      <c r="BD140" s="1209"/>
      <c r="BE140" s="1205"/>
    </row>
    <row r="141" spans="1:57" ht="15.75" customHeight="1">
      <c r="A141" s="1209"/>
      <c r="B141" s="2422" t="s">
        <v>2188</v>
      </c>
      <c r="C141" s="2423"/>
      <c r="D141" s="2423"/>
      <c r="E141" s="2423"/>
      <c r="F141" s="2423"/>
      <c r="G141" s="2423"/>
      <c r="H141" s="2423"/>
      <c r="I141" s="2423"/>
      <c r="J141" s="2423"/>
      <c r="K141" s="2423"/>
      <c r="L141" s="2423"/>
      <c r="M141" s="2423"/>
      <c r="N141" s="2423"/>
      <c r="O141" s="2423"/>
      <c r="P141" s="2423"/>
      <c r="Q141" s="2423"/>
      <c r="R141" s="2423"/>
      <c r="S141" s="2423"/>
      <c r="T141" s="2423"/>
      <c r="U141" s="2423"/>
      <c r="V141" s="2423"/>
      <c r="W141" s="2423"/>
      <c r="X141" s="2423"/>
      <c r="Y141" s="2423"/>
      <c r="Z141" s="2423"/>
      <c r="AA141" s="2423"/>
      <c r="AB141" s="2423"/>
      <c r="AC141" s="2423"/>
      <c r="AD141" s="2423"/>
      <c r="AE141" s="2423"/>
      <c r="AF141" s="2423"/>
      <c r="AG141" s="2423"/>
      <c r="AH141" s="2423"/>
      <c r="AI141" s="2423"/>
      <c r="AJ141" s="2423"/>
      <c r="AK141" s="2423"/>
      <c r="AL141" s="2423"/>
      <c r="AM141" s="2423"/>
      <c r="AN141" s="2423"/>
      <c r="AO141" s="2423"/>
      <c r="AP141" s="2423"/>
      <c r="AQ141" s="2423"/>
      <c r="AR141" s="2423"/>
      <c r="AS141" s="2423"/>
      <c r="AT141" s="2423"/>
      <c r="AU141" s="2423"/>
      <c r="AV141" s="2423"/>
      <c r="AW141" s="2423"/>
      <c r="AX141" s="2424"/>
      <c r="AY141" s="1209"/>
      <c r="AZ141" s="1209"/>
      <c r="BA141" s="1209"/>
      <c r="BB141" s="1209"/>
      <c r="BC141" s="1209"/>
      <c r="BD141" s="1209"/>
      <c r="BE141" s="1205"/>
    </row>
    <row r="142" spans="1:57" ht="15.75" customHeight="1">
      <c r="A142" s="1209"/>
      <c r="B142" s="2422"/>
      <c r="C142" s="2423"/>
      <c r="D142" s="2423"/>
      <c r="E142" s="2423"/>
      <c r="F142" s="2423"/>
      <c r="G142" s="2423"/>
      <c r="H142" s="2423"/>
      <c r="I142" s="2423"/>
      <c r="J142" s="2423"/>
      <c r="K142" s="2423"/>
      <c r="L142" s="2423"/>
      <c r="M142" s="2423"/>
      <c r="N142" s="2423"/>
      <c r="O142" s="2423"/>
      <c r="P142" s="2423"/>
      <c r="Q142" s="2423"/>
      <c r="R142" s="2423"/>
      <c r="S142" s="2423"/>
      <c r="T142" s="2423"/>
      <c r="U142" s="2423"/>
      <c r="V142" s="2423"/>
      <c r="W142" s="2423"/>
      <c r="X142" s="2423"/>
      <c r="Y142" s="2423"/>
      <c r="Z142" s="2423"/>
      <c r="AA142" s="2423"/>
      <c r="AB142" s="2423"/>
      <c r="AC142" s="2423"/>
      <c r="AD142" s="2423"/>
      <c r="AE142" s="2423"/>
      <c r="AF142" s="2423"/>
      <c r="AG142" s="2423"/>
      <c r="AH142" s="2423"/>
      <c r="AI142" s="2423"/>
      <c r="AJ142" s="2423"/>
      <c r="AK142" s="2423"/>
      <c r="AL142" s="2423"/>
      <c r="AM142" s="2423"/>
      <c r="AN142" s="2423"/>
      <c r="AO142" s="2423"/>
      <c r="AP142" s="2423"/>
      <c r="AQ142" s="2423"/>
      <c r="AR142" s="2423"/>
      <c r="AS142" s="2423"/>
      <c r="AT142" s="2423"/>
      <c r="AU142" s="2423"/>
      <c r="AV142" s="2423"/>
      <c r="AW142" s="2423"/>
      <c r="AX142" s="2424"/>
      <c r="AY142" s="1209"/>
      <c r="AZ142" s="1209"/>
      <c r="BA142" s="1209"/>
      <c r="BB142" s="1209"/>
      <c r="BC142" s="1209"/>
      <c r="BD142" s="1209"/>
      <c r="BE142" s="1205"/>
    </row>
    <row r="143" spans="1:57" ht="15.75" customHeight="1">
      <c r="A143" s="1209"/>
      <c r="B143" s="2422"/>
      <c r="C143" s="2423"/>
      <c r="D143" s="2423"/>
      <c r="E143" s="2423"/>
      <c r="F143" s="2423"/>
      <c r="G143" s="2423"/>
      <c r="H143" s="2423"/>
      <c r="I143" s="2423"/>
      <c r="J143" s="2423"/>
      <c r="K143" s="2423"/>
      <c r="L143" s="2423"/>
      <c r="M143" s="2423"/>
      <c r="N143" s="2423"/>
      <c r="O143" s="2423"/>
      <c r="P143" s="2423"/>
      <c r="Q143" s="2423"/>
      <c r="R143" s="2423"/>
      <c r="S143" s="2423"/>
      <c r="T143" s="2423"/>
      <c r="U143" s="2423"/>
      <c r="V143" s="2423"/>
      <c r="W143" s="2423"/>
      <c r="X143" s="2423"/>
      <c r="Y143" s="2423"/>
      <c r="Z143" s="2423"/>
      <c r="AA143" s="2423"/>
      <c r="AB143" s="2423"/>
      <c r="AC143" s="2423"/>
      <c r="AD143" s="2423"/>
      <c r="AE143" s="2423"/>
      <c r="AF143" s="2423"/>
      <c r="AG143" s="2423"/>
      <c r="AH143" s="2423"/>
      <c r="AI143" s="2423"/>
      <c r="AJ143" s="2423"/>
      <c r="AK143" s="2423"/>
      <c r="AL143" s="2423"/>
      <c r="AM143" s="2423"/>
      <c r="AN143" s="2423"/>
      <c r="AO143" s="2423"/>
      <c r="AP143" s="2423"/>
      <c r="AQ143" s="2423"/>
      <c r="AR143" s="2423"/>
      <c r="AS143" s="2423"/>
      <c r="AT143" s="2423"/>
      <c r="AU143" s="2423"/>
      <c r="AV143" s="2423"/>
      <c r="AW143" s="2423"/>
      <c r="AX143" s="2424"/>
      <c r="AY143" s="1209"/>
      <c r="AZ143" s="1209"/>
      <c r="BA143" s="1209"/>
      <c r="BB143" s="1209"/>
      <c r="BC143" s="1209"/>
      <c r="BD143" s="1209"/>
      <c r="BE143" s="1205"/>
    </row>
    <row r="144" spans="1:57" ht="15.75" customHeight="1">
      <c r="A144" s="1209"/>
      <c r="B144" s="2422"/>
      <c r="C144" s="2423"/>
      <c r="D144" s="2423"/>
      <c r="E144" s="2423"/>
      <c r="F144" s="2423"/>
      <c r="G144" s="2423"/>
      <c r="H144" s="2423"/>
      <c r="I144" s="2423"/>
      <c r="J144" s="2423"/>
      <c r="K144" s="2423"/>
      <c r="L144" s="2423"/>
      <c r="M144" s="2423"/>
      <c r="N144" s="2423"/>
      <c r="O144" s="2423"/>
      <c r="P144" s="2423"/>
      <c r="Q144" s="2423"/>
      <c r="R144" s="2423"/>
      <c r="S144" s="2423"/>
      <c r="T144" s="2423"/>
      <c r="U144" s="2423"/>
      <c r="V144" s="2423"/>
      <c r="W144" s="2423"/>
      <c r="X144" s="2423"/>
      <c r="Y144" s="2423"/>
      <c r="Z144" s="2423"/>
      <c r="AA144" s="2423"/>
      <c r="AB144" s="2423"/>
      <c r="AC144" s="2423"/>
      <c r="AD144" s="2423"/>
      <c r="AE144" s="2423"/>
      <c r="AF144" s="2423"/>
      <c r="AG144" s="2423"/>
      <c r="AH144" s="2423"/>
      <c r="AI144" s="2423"/>
      <c r="AJ144" s="2423"/>
      <c r="AK144" s="2423"/>
      <c r="AL144" s="2423"/>
      <c r="AM144" s="2423"/>
      <c r="AN144" s="2423"/>
      <c r="AO144" s="2423"/>
      <c r="AP144" s="2423"/>
      <c r="AQ144" s="2423"/>
      <c r="AR144" s="2423"/>
      <c r="AS144" s="2423"/>
      <c r="AT144" s="2423"/>
      <c r="AU144" s="2423"/>
      <c r="AV144" s="2423"/>
      <c r="AW144" s="2423"/>
      <c r="AX144" s="2424"/>
      <c r="AY144" s="1209"/>
      <c r="AZ144" s="1209"/>
      <c r="BA144" s="1209"/>
      <c r="BB144" s="1209"/>
      <c r="BC144" s="1209"/>
      <c r="BD144" s="1209"/>
      <c r="BE144" s="1205"/>
    </row>
    <row r="145" spans="1:57" ht="15.75" customHeight="1">
      <c r="A145" s="1209"/>
      <c r="B145" s="2422"/>
      <c r="C145" s="2423"/>
      <c r="D145" s="2423"/>
      <c r="E145" s="2423"/>
      <c r="F145" s="2423"/>
      <c r="G145" s="2423"/>
      <c r="H145" s="2423"/>
      <c r="I145" s="2423"/>
      <c r="J145" s="2423"/>
      <c r="K145" s="2423"/>
      <c r="L145" s="2423"/>
      <c r="M145" s="2423"/>
      <c r="N145" s="2423"/>
      <c r="O145" s="2423"/>
      <c r="P145" s="2423"/>
      <c r="Q145" s="2423"/>
      <c r="R145" s="2423"/>
      <c r="S145" s="2423"/>
      <c r="T145" s="2423"/>
      <c r="U145" s="2423"/>
      <c r="V145" s="2423"/>
      <c r="W145" s="2423"/>
      <c r="X145" s="2423"/>
      <c r="Y145" s="2423"/>
      <c r="Z145" s="2423"/>
      <c r="AA145" s="2423"/>
      <c r="AB145" s="2423"/>
      <c r="AC145" s="2423"/>
      <c r="AD145" s="2423"/>
      <c r="AE145" s="2423"/>
      <c r="AF145" s="2423"/>
      <c r="AG145" s="2423"/>
      <c r="AH145" s="2423"/>
      <c r="AI145" s="2423"/>
      <c r="AJ145" s="2423"/>
      <c r="AK145" s="2423"/>
      <c r="AL145" s="2423"/>
      <c r="AM145" s="2423"/>
      <c r="AN145" s="2423"/>
      <c r="AO145" s="2423"/>
      <c r="AP145" s="2423"/>
      <c r="AQ145" s="2423"/>
      <c r="AR145" s="2423"/>
      <c r="AS145" s="2423"/>
      <c r="AT145" s="2423"/>
      <c r="AU145" s="2423"/>
      <c r="AV145" s="2423"/>
      <c r="AW145" s="2423"/>
      <c r="AX145" s="2424"/>
      <c r="AY145" s="1209"/>
      <c r="AZ145" s="1209"/>
      <c r="BA145" s="1209"/>
      <c r="BB145" s="1209"/>
      <c r="BC145" s="1209"/>
      <c r="BD145" s="1209"/>
      <c r="BE145" s="1205"/>
    </row>
    <row r="146" spans="1:57" ht="15.75" customHeight="1">
      <c r="A146" s="1209"/>
      <c r="B146" s="2422"/>
      <c r="C146" s="2423"/>
      <c r="D146" s="2423"/>
      <c r="E146" s="2423"/>
      <c r="F146" s="2423"/>
      <c r="G146" s="2423"/>
      <c r="H146" s="2423"/>
      <c r="I146" s="2423"/>
      <c r="J146" s="2423"/>
      <c r="K146" s="2423"/>
      <c r="L146" s="2423"/>
      <c r="M146" s="2423"/>
      <c r="N146" s="2423"/>
      <c r="O146" s="2423"/>
      <c r="P146" s="2423"/>
      <c r="Q146" s="2423"/>
      <c r="R146" s="2423"/>
      <c r="S146" s="2423"/>
      <c r="T146" s="2423"/>
      <c r="U146" s="2423"/>
      <c r="V146" s="2423"/>
      <c r="W146" s="2423"/>
      <c r="X146" s="2423"/>
      <c r="Y146" s="2423"/>
      <c r="Z146" s="2423"/>
      <c r="AA146" s="2423"/>
      <c r="AB146" s="2423"/>
      <c r="AC146" s="2423"/>
      <c r="AD146" s="2423"/>
      <c r="AE146" s="2423"/>
      <c r="AF146" s="2423"/>
      <c r="AG146" s="2423"/>
      <c r="AH146" s="2423"/>
      <c r="AI146" s="2423"/>
      <c r="AJ146" s="2423"/>
      <c r="AK146" s="2423"/>
      <c r="AL146" s="2423"/>
      <c r="AM146" s="2423"/>
      <c r="AN146" s="2423"/>
      <c r="AO146" s="2423"/>
      <c r="AP146" s="2423"/>
      <c r="AQ146" s="2423"/>
      <c r="AR146" s="2423"/>
      <c r="AS146" s="2423"/>
      <c r="AT146" s="2423"/>
      <c r="AU146" s="2423"/>
      <c r="AV146" s="2423"/>
      <c r="AW146" s="2423"/>
      <c r="AX146" s="2424"/>
      <c r="AY146" s="1209"/>
      <c r="AZ146" s="1209"/>
      <c r="BA146" s="1209"/>
      <c r="BB146" s="1209"/>
      <c r="BC146" s="1209"/>
      <c r="BD146" s="1209"/>
      <c r="BE146" s="1205"/>
    </row>
    <row r="147" spans="1:57" ht="15.75" customHeight="1">
      <c r="A147" s="1209"/>
      <c r="B147" s="2422"/>
      <c r="C147" s="2423"/>
      <c r="D147" s="2423"/>
      <c r="E147" s="2423"/>
      <c r="F147" s="2423"/>
      <c r="G147" s="2423"/>
      <c r="H147" s="2423"/>
      <c r="I147" s="2423"/>
      <c r="J147" s="2423"/>
      <c r="K147" s="2423"/>
      <c r="L147" s="2423"/>
      <c r="M147" s="2423"/>
      <c r="N147" s="2423"/>
      <c r="O147" s="2423"/>
      <c r="P147" s="2423"/>
      <c r="Q147" s="2423"/>
      <c r="R147" s="2423"/>
      <c r="S147" s="2423"/>
      <c r="T147" s="2423"/>
      <c r="U147" s="2423"/>
      <c r="V147" s="2423"/>
      <c r="W147" s="2423"/>
      <c r="X147" s="2423"/>
      <c r="Y147" s="2423"/>
      <c r="Z147" s="2423"/>
      <c r="AA147" s="2423"/>
      <c r="AB147" s="2423"/>
      <c r="AC147" s="2423"/>
      <c r="AD147" s="2423"/>
      <c r="AE147" s="2423"/>
      <c r="AF147" s="2423"/>
      <c r="AG147" s="2423"/>
      <c r="AH147" s="2423"/>
      <c r="AI147" s="2423"/>
      <c r="AJ147" s="2423"/>
      <c r="AK147" s="2423"/>
      <c r="AL147" s="2423"/>
      <c r="AM147" s="2423"/>
      <c r="AN147" s="2423"/>
      <c r="AO147" s="2423"/>
      <c r="AP147" s="2423"/>
      <c r="AQ147" s="2423"/>
      <c r="AR147" s="2423"/>
      <c r="AS147" s="2423"/>
      <c r="AT147" s="2423"/>
      <c r="AU147" s="2423"/>
      <c r="AV147" s="2423"/>
      <c r="AW147" s="2423"/>
      <c r="AX147" s="2424"/>
      <c r="AY147" s="1209"/>
      <c r="AZ147" s="1209"/>
      <c r="BA147" s="1209"/>
      <c r="BB147" s="1209"/>
      <c r="BC147" s="1209"/>
      <c r="BD147" s="1209"/>
      <c r="BE147" s="1205"/>
    </row>
    <row r="148" spans="1:57" ht="15.75" customHeight="1">
      <c r="A148" s="1209"/>
      <c r="B148" s="2422"/>
      <c r="C148" s="2423"/>
      <c r="D148" s="2423"/>
      <c r="E148" s="2423"/>
      <c r="F148" s="2423"/>
      <c r="G148" s="2423"/>
      <c r="H148" s="2423"/>
      <c r="I148" s="2423"/>
      <c r="J148" s="2423"/>
      <c r="K148" s="2423"/>
      <c r="L148" s="2423"/>
      <c r="M148" s="2423"/>
      <c r="N148" s="2423"/>
      <c r="O148" s="2423"/>
      <c r="P148" s="2423"/>
      <c r="Q148" s="2423"/>
      <c r="R148" s="2423"/>
      <c r="S148" s="2423"/>
      <c r="T148" s="2423"/>
      <c r="U148" s="2423"/>
      <c r="V148" s="2423"/>
      <c r="W148" s="2423"/>
      <c r="X148" s="2423"/>
      <c r="Y148" s="2423"/>
      <c r="Z148" s="2423"/>
      <c r="AA148" s="2423"/>
      <c r="AB148" s="2423"/>
      <c r="AC148" s="2423"/>
      <c r="AD148" s="2423"/>
      <c r="AE148" s="2423"/>
      <c r="AF148" s="2423"/>
      <c r="AG148" s="2423"/>
      <c r="AH148" s="2423"/>
      <c r="AI148" s="2423"/>
      <c r="AJ148" s="2423"/>
      <c r="AK148" s="2423"/>
      <c r="AL148" s="2423"/>
      <c r="AM148" s="2423"/>
      <c r="AN148" s="2423"/>
      <c r="AO148" s="2423"/>
      <c r="AP148" s="2423"/>
      <c r="AQ148" s="2423"/>
      <c r="AR148" s="2423"/>
      <c r="AS148" s="2423"/>
      <c r="AT148" s="2423"/>
      <c r="AU148" s="2423"/>
      <c r="AV148" s="2423"/>
      <c r="AW148" s="2423"/>
      <c r="AX148" s="2424"/>
      <c r="AY148" s="1209"/>
      <c r="AZ148" s="1209"/>
      <c r="BA148" s="1209"/>
      <c r="BB148" s="1209"/>
      <c r="BC148" s="1209"/>
      <c r="BD148" s="1209"/>
      <c r="BE148" s="1205"/>
    </row>
    <row r="149" spans="1:57" ht="15.75" customHeight="1">
      <c r="A149" s="1209"/>
      <c r="B149" s="2422"/>
      <c r="C149" s="2423"/>
      <c r="D149" s="2423"/>
      <c r="E149" s="2423"/>
      <c r="F149" s="2423"/>
      <c r="G149" s="2423"/>
      <c r="H149" s="2423"/>
      <c r="I149" s="2423"/>
      <c r="J149" s="2423"/>
      <c r="K149" s="2423"/>
      <c r="L149" s="2423"/>
      <c r="M149" s="2423"/>
      <c r="N149" s="2423"/>
      <c r="O149" s="2423"/>
      <c r="P149" s="2423"/>
      <c r="Q149" s="2423"/>
      <c r="R149" s="2423"/>
      <c r="S149" s="2423"/>
      <c r="T149" s="2423"/>
      <c r="U149" s="2423"/>
      <c r="V149" s="2423"/>
      <c r="W149" s="2423"/>
      <c r="X149" s="2423"/>
      <c r="Y149" s="2423"/>
      <c r="Z149" s="2423"/>
      <c r="AA149" s="2423"/>
      <c r="AB149" s="2423"/>
      <c r="AC149" s="2423"/>
      <c r="AD149" s="2423"/>
      <c r="AE149" s="2423"/>
      <c r="AF149" s="2423"/>
      <c r="AG149" s="2423"/>
      <c r="AH149" s="2423"/>
      <c r="AI149" s="2423"/>
      <c r="AJ149" s="2423"/>
      <c r="AK149" s="2423"/>
      <c r="AL149" s="2423"/>
      <c r="AM149" s="2423"/>
      <c r="AN149" s="2423"/>
      <c r="AO149" s="2423"/>
      <c r="AP149" s="2423"/>
      <c r="AQ149" s="2423"/>
      <c r="AR149" s="2423"/>
      <c r="AS149" s="2423"/>
      <c r="AT149" s="2423"/>
      <c r="AU149" s="2423"/>
      <c r="AV149" s="2423"/>
      <c r="AW149" s="2423"/>
      <c r="AX149" s="2424"/>
      <c r="AY149" s="1209"/>
      <c r="AZ149" s="1209"/>
      <c r="BA149" s="1209"/>
      <c r="BB149" s="1209"/>
      <c r="BC149" s="1209"/>
      <c r="BD149" s="1209"/>
      <c r="BE149" s="1205"/>
    </row>
    <row r="150" spans="1:57" ht="15.75" customHeight="1" thickBot="1">
      <c r="A150" s="1209"/>
      <c r="B150" s="2425"/>
      <c r="C150" s="2426"/>
      <c r="D150" s="2426"/>
      <c r="E150" s="2426"/>
      <c r="F150" s="2426"/>
      <c r="G150" s="2426"/>
      <c r="H150" s="2426"/>
      <c r="I150" s="2426"/>
      <c r="J150" s="2426"/>
      <c r="K150" s="2426"/>
      <c r="L150" s="2426"/>
      <c r="M150" s="2426"/>
      <c r="N150" s="2426"/>
      <c r="O150" s="2426"/>
      <c r="P150" s="2426"/>
      <c r="Q150" s="2426"/>
      <c r="R150" s="2426"/>
      <c r="S150" s="2426"/>
      <c r="T150" s="2426"/>
      <c r="U150" s="2426"/>
      <c r="V150" s="2426"/>
      <c r="W150" s="2426"/>
      <c r="X150" s="2426"/>
      <c r="Y150" s="2426"/>
      <c r="Z150" s="2426"/>
      <c r="AA150" s="2426"/>
      <c r="AB150" s="2426"/>
      <c r="AC150" s="2426"/>
      <c r="AD150" s="2426"/>
      <c r="AE150" s="2426"/>
      <c r="AF150" s="2426"/>
      <c r="AG150" s="2426"/>
      <c r="AH150" s="2426"/>
      <c r="AI150" s="2426"/>
      <c r="AJ150" s="2426"/>
      <c r="AK150" s="2426"/>
      <c r="AL150" s="2426"/>
      <c r="AM150" s="2426"/>
      <c r="AN150" s="2426"/>
      <c r="AO150" s="2426"/>
      <c r="AP150" s="2426"/>
      <c r="AQ150" s="2426"/>
      <c r="AR150" s="2426"/>
      <c r="AS150" s="2426"/>
      <c r="AT150" s="2426"/>
      <c r="AU150" s="2426"/>
      <c r="AV150" s="2426"/>
      <c r="AW150" s="2426"/>
      <c r="AX150" s="2427"/>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1834</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2189</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7" t="s">
        <v>1835</v>
      </c>
      <c r="C154" s="2213"/>
      <c r="D154" s="2213"/>
      <c r="E154" s="2213"/>
      <c r="F154" s="2213"/>
      <c r="G154" s="2213"/>
      <c r="H154" s="2213"/>
      <c r="I154" s="2213"/>
      <c r="J154" s="2213"/>
      <c r="K154" s="2213"/>
      <c r="L154" s="2213"/>
      <c r="M154" s="2213"/>
      <c r="N154" s="2213"/>
      <c r="O154" s="2213"/>
      <c r="P154" s="2213"/>
      <c r="Q154" s="2213"/>
      <c r="R154" s="2213"/>
      <c r="S154" s="2213"/>
      <c r="T154" s="2213"/>
      <c r="U154" s="2214"/>
      <c r="V154" s="1209"/>
      <c r="W154" s="1217"/>
      <c r="X154" s="2417" t="s">
        <v>2190</v>
      </c>
      <c r="Y154" s="2213"/>
      <c r="Z154" s="2213"/>
      <c r="AA154" s="2213"/>
      <c r="AB154" s="2213"/>
      <c r="AC154" s="2213"/>
      <c r="AD154" s="2213"/>
      <c r="AE154" s="2213"/>
      <c r="AF154" s="2213"/>
      <c r="AG154" s="2213"/>
      <c r="AH154" s="2213"/>
      <c r="AI154" s="2213"/>
      <c r="AJ154" s="2213"/>
      <c r="AK154" s="2213"/>
      <c r="AL154" s="2213"/>
      <c r="AM154" s="2213"/>
      <c r="AN154" s="2213"/>
      <c r="AO154" s="2213"/>
      <c r="AP154" s="2213"/>
      <c r="AQ154" s="2214"/>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6"/>
      <c r="C155" s="2397"/>
      <c r="D155" s="2397"/>
      <c r="E155" s="2397"/>
      <c r="F155" s="2397"/>
      <c r="G155" s="2397"/>
      <c r="H155" s="2397"/>
      <c r="I155" s="2411" t="s">
        <v>1826</v>
      </c>
      <c r="J155" s="2411"/>
      <c r="K155" s="2411"/>
      <c r="L155" s="2411"/>
      <c r="M155" s="2411"/>
      <c r="N155" s="2411"/>
      <c r="O155" s="2411"/>
      <c r="P155" s="2411" t="s">
        <v>2191</v>
      </c>
      <c r="Q155" s="2411"/>
      <c r="R155" s="2411"/>
      <c r="S155" s="2411"/>
      <c r="T155" s="2411"/>
      <c r="U155" s="2412"/>
      <c r="V155" s="1209"/>
      <c r="W155" s="1209"/>
      <c r="X155" s="2396"/>
      <c r="Y155" s="2397"/>
      <c r="Z155" s="2397"/>
      <c r="AA155" s="2397"/>
      <c r="AB155" s="2397"/>
      <c r="AC155" s="2397"/>
      <c r="AD155" s="2397"/>
      <c r="AE155" s="2411" t="s">
        <v>1826</v>
      </c>
      <c r="AF155" s="2411"/>
      <c r="AG155" s="2411"/>
      <c r="AH155" s="2411"/>
      <c r="AI155" s="2411"/>
      <c r="AJ155" s="2411"/>
      <c r="AK155" s="2411"/>
      <c r="AL155" s="2411" t="s">
        <v>2185</v>
      </c>
      <c r="AM155" s="2411"/>
      <c r="AN155" s="2411"/>
      <c r="AO155" s="2411"/>
      <c r="AP155" s="2411"/>
      <c r="AQ155" s="2412"/>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6"/>
      <c r="C156" s="2397"/>
      <c r="D156" s="2397"/>
      <c r="E156" s="2397"/>
      <c r="F156" s="2397"/>
      <c r="G156" s="2397"/>
      <c r="H156" s="2397"/>
      <c r="I156" s="2411"/>
      <c r="J156" s="2411"/>
      <c r="K156" s="2411"/>
      <c r="L156" s="2411"/>
      <c r="M156" s="2411"/>
      <c r="N156" s="2411"/>
      <c r="O156" s="2411"/>
      <c r="P156" s="2411"/>
      <c r="Q156" s="2411"/>
      <c r="R156" s="2411"/>
      <c r="S156" s="2411"/>
      <c r="T156" s="2411"/>
      <c r="U156" s="2412"/>
      <c r="V156" s="1209"/>
      <c r="W156" s="1209"/>
      <c r="X156" s="2396"/>
      <c r="Y156" s="2397"/>
      <c r="Z156" s="2397"/>
      <c r="AA156" s="2397"/>
      <c r="AB156" s="2397"/>
      <c r="AC156" s="2397"/>
      <c r="AD156" s="2397"/>
      <c r="AE156" s="2411"/>
      <c r="AF156" s="2411"/>
      <c r="AG156" s="2411"/>
      <c r="AH156" s="2411"/>
      <c r="AI156" s="2411"/>
      <c r="AJ156" s="2411"/>
      <c r="AK156" s="2411"/>
      <c r="AL156" s="2411"/>
      <c r="AM156" s="2411"/>
      <c r="AN156" s="2411"/>
      <c r="AO156" s="2411"/>
      <c r="AP156" s="2411"/>
      <c r="AQ156" s="2412"/>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3" t="s">
        <v>2173</v>
      </c>
      <c r="C157" s="2414"/>
      <c r="D157" s="2414"/>
      <c r="E157" s="2414"/>
      <c r="F157" s="2414"/>
      <c r="G157" s="2414"/>
      <c r="H157" s="2414"/>
      <c r="I157" s="2173">
        <v>0</v>
      </c>
      <c r="J157" s="2173"/>
      <c r="K157" s="2173"/>
      <c r="L157" s="2173"/>
      <c r="M157" s="2173"/>
      <c r="N157" s="2173"/>
      <c r="O157" s="2173"/>
      <c r="P157" s="2173">
        <v>0</v>
      </c>
      <c r="Q157" s="2173"/>
      <c r="R157" s="2173"/>
      <c r="S157" s="2173"/>
      <c r="T157" s="2173"/>
      <c r="U157" s="2174"/>
      <c r="V157" s="1209"/>
      <c r="W157" s="1209"/>
      <c r="X157" s="2415" t="s">
        <v>2173</v>
      </c>
      <c r="Y157" s="2416"/>
      <c r="Z157" s="2416"/>
      <c r="AA157" s="2416"/>
      <c r="AB157" s="2416"/>
      <c r="AC157" s="2416"/>
      <c r="AD157" s="2416"/>
      <c r="AE157" s="2171">
        <v>0</v>
      </c>
      <c r="AF157" s="2171"/>
      <c r="AG157" s="2171"/>
      <c r="AH157" s="2171"/>
      <c r="AI157" s="2171"/>
      <c r="AJ157" s="2171"/>
      <c r="AK157" s="2171"/>
      <c r="AL157" s="2171">
        <v>0</v>
      </c>
      <c r="AM157" s="2171"/>
      <c r="AN157" s="2171"/>
      <c r="AO157" s="2171"/>
      <c r="AP157" s="2171"/>
      <c r="AQ157" s="2172"/>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5" t="s">
        <v>2174</v>
      </c>
      <c r="C158" s="2416"/>
      <c r="D158" s="2416"/>
      <c r="E158" s="2416"/>
      <c r="F158" s="2416"/>
      <c r="G158" s="2416"/>
      <c r="H158" s="2416"/>
      <c r="I158" s="2171">
        <v>0</v>
      </c>
      <c r="J158" s="2171"/>
      <c r="K158" s="2171"/>
      <c r="L158" s="2171"/>
      <c r="M158" s="2171"/>
      <c r="N158" s="2171"/>
      <c r="O158" s="2171"/>
      <c r="P158" s="2171">
        <v>0</v>
      </c>
      <c r="Q158" s="2171"/>
      <c r="R158" s="2171"/>
      <c r="S158" s="2171"/>
      <c r="T158" s="2171"/>
      <c r="U158" s="2172"/>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7" t="s">
        <v>2175</v>
      </c>
      <c r="D160" s="2213"/>
      <c r="E160" s="2213"/>
      <c r="F160" s="2213"/>
      <c r="G160" s="2213"/>
      <c r="H160" s="2213"/>
      <c r="I160" s="2213"/>
      <c r="J160" s="2213"/>
      <c r="K160" s="2213"/>
      <c r="L160" s="2213"/>
      <c r="M160" s="2213"/>
      <c r="N160" s="2213"/>
      <c r="O160" s="2213"/>
      <c r="P160" s="2213"/>
      <c r="Q160" s="2213"/>
      <c r="R160" s="2213"/>
      <c r="S160" s="2213"/>
      <c r="T160" s="2213"/>
      <c r="U160" s="2213"/>
      <c r="V160" s="2213"/>
      <c r="W160" s="2213"/>
      <c r="X160" s="2213"/>
      <c r="Y160" s="2213"/>
      <c r="Z160" s="2213"/>
      <c r="AA160" s="2213"/>
      <c r="AB160" s="2213"/>
      <c r="AC160" s="2213"/>
      <c r="AD160" s="2213"/>
      <c r="AE160" s="2213"/>
      <c r="AF160" s="2213"/>
      <c r="AG160" s="2214"/>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6" t="s">
        <v>1836</v>
      </c>
      <c r="D161" s="2397"/>
      <c r="E161" s="2397"/>
      <c r="F161" s="2397"/>
      <c r="G161" s="2397"/>
      <c r="H161" s="2397"/>
      <c r="I161" s="2397"/>
      <c r="J161" s="2397"/>
      <c r="K161" s="2397"/>
      <c r="L161" s="2397"/>
      <c r="M161" s="2397"/>
      <c r="N161" s="2397"/>
      <c r="O161" s="2397"/>
      <c r="P161" s="2397"/>
      <c r="Q161" s="2397" t="s">
        <v>1837</v>
      </c>
      <c r="R161" s="2397"/>
      <c r="S161" s="2397"/>
      <c r="T161" s="2178" t="s">
        <v>2176</v>
      </c>
      <c r="U161" s="2178"/>
      <c r="V161" s="2178"/>
      <c r="W161" s="2178"/>
      <c r="X161" s="2178"/>
      <c r="Y161" s="2178"/>
      <c r="Z161" s="2178"/>
      <c r="AA161" s="2178"/>
      <c r="AB161" s="2397" t="s">
        <v>1838</v>
      </c>
      <c r="AC161" s="2397"/>
      <c r="AD161" s="2397"/>
      <c r="AE161" s="2397"/>
      <c r="AF161" s="2397"/>
      <c r="AG161" s="2398"/>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5" t="s">
        <v>1839</v>
      </c>
      <c r="D162" s="2406"/>
      <c r="E162" s="2406"/>
      <c r="F162" s="2406"/>
      <c r="G162" s="2406"/>
      <c r="H162" s="2406"/>
      <c r="I162" s="2406"/>
      <c r="J162" s="2406"/>
      <c r="K162" s="2406"/>
      <c r="L162" s="2406"/>
      <c r="M162" s="2406"/>
      <c r="N162" s="2406"/>
      <c r="O162" s="2406"/>
      <c r="P162" s="2406"/>
      <c r="Q162" s="2355">
        <v>55</v>
      </c>
      <c r="R162" s="2355"/>
      <c r="S162" s="2355"/>
      <c r="T162" s="2369"/>
      <c r="U162" s="2369"/>
      <c r="V162" s="2369"/>
      <c r="W162" s="2369"/>
      <c r="X162" s="2369"/>
      <c r="Y162" s="2369"/>
      <c r="Z162" s="2369"/>
      <c r="AA162" s="2369"/>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5" t="s">
        <v>1840</v>
      </c>
      <c r="D163" s="2406"/>
      <c r="E163" s="2406"/>
      <c r="F163" s="2406"/>
      <c r="G163" s="2406"/>
      <c r="H163" s="2406"/>
      <c r="I163" s="2406"/>
      <c r="J163" s="2406"/>
      <c r="K163" s="2406"/>
      <c r="L163" s="2406"/>
      <c r="M163" s="2406"/>
      <c r="N163" s="2406"/>
      <c r="O163" s="2406"/>
      <c r="P163" s="2406"/>
      <c r="Q163" s="2355">
        <v>55</v>
      </c>
      <c r="R163" s="2355"/>
      <c r="S163" s="2355"/>
      <c r="T163" s="2408"/>
      <c r="U163" s="2408"/>
      <c r="V163" s="2408"/>
      <c r="W163" s="2408"/>
      <c r="X163" s="2408"/>
      <c r="Y163" s="2408"/>
      <c r="Z163" s="2408"/>
      <c r="AA163" s="2408"/>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5" t="s">
        <v>1841</v>
      </c>
      <c r="D164" s="2406"/>
      <c r="E164" s="2406"/>
      <c r="F164" s="2406"/>
      <c r="G164" s="2406"/>
      <c r="H164" s="2406"/>
      <c r="I164" s="2406"/>
      <c r="J164" s="2406"/>
      <c r="K164" s="2406"/>
      <c r="L164" s="2406"/>
      <c r="M164" s="2406"/>
      <c r="N164" s="2406"/>
      <c r="O164" s="2406"/>
      <c r="P164" s="2406"/>
      <c r="Q164" s="2355">
        <v>55</v>
      </c>
      <c r="R164" s="2355"/>
      <c r="S164" s="2355"/>
      <c r="T164" s="2369"/>
      <c r="U164" s="2369"/>
      <c r="V164" s="2369"/>
      <c r="W164" s="2369"/>
      <c r="X164" s="2369"/>
      <c r="Y164" s="2369"/>
      <c r="Z164" s="2369"/>
      <c r="AA164" s="2369"/>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5" t="s">
        <v>1812</v>
      </c>
      <c r="D165" s="2406"/>
      <c r="E165" s="2406"/>
      <c r="F165" s="2406"/>
      <c r="G165" s="2406"/>
      <c r="H165" s="2406"/>
      <c r="I165" s="2406"/>
      <c r="J165" s="2406"/>
      <c r="K165" s="2406"/>
      <c r="L165" s="2406"/>
      <c r="M165" s="2406"/>
      <c r="N165" s="2406"/>
      <c r="O165" s="2406"/>
      <c r="P165" s="2406"/>
      <c r="Q165" s="2355">
        <v>55</v>
      </c>
      <c r="R165" s="2355"/>
      <c r="S165" s="2355"/>
      <c r="T165" s="2369"/>
      <c r="U165" s="2369"/>
      <c r="V165" s="2369"/>
      <c r="W165" s="2369"/>
      <c r="X165" s="2369"/>
      <c r="Y165" s="2369"/>
      <c r="Z165" s="2369"/>
      <c r="AA165" s="2369"/>
      <c r="AB165" s="2409">
        <v>0</v>
      </c>
      <c r="AC165" s="2409"/>
      <c r="AD165" s="2409"/>
      <c r="AE165" s="2409"/>
      <c r="AF165" s="2409"/>
      <c r="AG165" s="2410"/>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5" t="s">
        <v>170</v>
      </c>
      <c r="D166" s="2406"/>
      <c r="E166" s="2406"/>
      <c r="F166" s="2407" t="s">
        <v>1842</v>
      </c>
      <c r="G166" s="2407"/>
      <c r="H166" s="2407"/>
      <c r="I166" s="2407"/>
      <c r="J166" s="2407"/>
      <c r="K166" s="2407"/>
      <c r="L166" s="2407"/>
      <c r="M166" s="2407"/>
      <c r="N166" s="2407"/>
      <c r="O166" s="2407"/>
      <c r="P166" s="2407"/>
      <c r="Q166" s="2355">
        <v>55</v>
      </c>
      <c r="R166" s="2355"/>
      <c r="S166" s="2355"/>
      <c r="T166" s="2408"/>
      <c r="U166" s="2408"/>
      <c r="V166" s="2408"/>
      <c r="W166" s="2408"/>
      <c r="X166" s="2408"/>
      <c r="Y166" s="2408"/>
      <c r="Z166" s="2408"/>
      <c r="AA166" s="2408"/>
      <c r="AB166" s="2409">
        <v>0</v>
      </c>
      <c r="AC166" s="2409"/>
      <c r="AD166" s="2409"/>
      <c r="AE166" s="2409"/>
      <c r="AF166" s="2409"/>
      <c r="AG166" s="2410"/>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5" t="s">
        <v>170</v>
      </c>
      <c r="D167" s="2406"/>
      <c r="E167" s="2406"/>
      <c r="F167" s="2407" t="s">
        <v>1842</v>
      </c>
      <c r="G167" s="2407"/>
      <c r="H167" s="2407"/>
      <c r="I167" s="2407"/>
      <c r="J167" s="2407"/>
      <c r="K167" s="2407"/>
      <c r="L167" s="2407"/>
      <c r="M167" s="2407"/>
      <c r="N167" s="2407"/>
      <c r="O167" s="2407"/>
      <c r="P167" s="2407"/>
      <c r="Q167" s="2355">
        <v>55</v>
      </c>
      <c r="R167" s="2355"/>
      <c r="S167" s="2355"/>
      <c r="T167" s="2408"/>
      <c r="U167" s="2408"/>
      <c r="V167" s="2408"/>
      <c r="W167" s="2408"/>
      <c r="X167" s="2408"/>
      <c r="Y167" s="2408"/>
      <c r="Z167" s="2408"/>
      <c r="AA167" s="2408"/>
      <c r="AB167" s="2409">
        <v>0</v>
      </c>
      <c r="AC167" s="2409"/>
      <c r="AD167" s="2409"/>
      <c r="AE167" s="2409"/>
      <c r="AF167" s="2409"/>
      <c r="AG167" s="2410"/>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6" t="s">
        <v>170</v>
      </c>
      <c r="D168" s="2377"/>
      <c r="E168" s="2377"/>
      <c r="F168" s="2378" t="s">
        <v>1842</v>
      </c>
      <c r="G168" s="2378"/>
      <c r="H168" s="2378"/>
      <c r="I168" s="2378"/>
      <c r="J168" s="2378"/>
      <c r="K168" s="2378"/>
      <c r="L168" s="2378"/>
      <c r="M168" s="2378"/>
      <c r="N168" s="2378"/>
      <c r="O168" s="2378"/>
      <c r="P168" s="2378"/>
      <c r="Q168" s="2379">
        <v>55</v>
      </c>
      <c r="R168" s="2379"/>
      <c r="S168" s="2379"/>
      <c r="T168" s="2380"/>
      <c r="U168" s="2380"/>
      <c r="V168" s="2380"/>
      <c r="W168" s="2380"/>
      <c r="X168" s="2380"/>
      <c r="Y168" s="2380"/>
      <c r="Z168" s="2380"/>
      <c r="AA168" s="2380"/>
      <c r="AB168" s="2381">
        <v>0</v>
      </c>
      <c r="AC168" s="2381"/>
      <c r="AD168" s="2381"/>
      <c r="AE168" s="2381"/>
      <c r="AF168" s="2381"/>
      <c r="AG168" s="2382"/>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0" t="s">
        <v>1843</v>
      </c>
      <c r="D170" s="2181"/>
      <c r="E170" s="2181"/>
      <c r="F170" s="2181"/>
      <c r="G170" s="2181"/>
      <c r="H170" s="2181"/>
      <c r="I170" s="2181"/>
      <c r="J170" s="2181"/>
      <c r="K170" s="2181"/>
      <c r="L170" s="2181"/>
      <c r="M170" s="2181"/>
      <c r="N170" s="2182"/>
      <c r="O170" s="1209"/>
      <c r="P170" s="2393" t="s">
        <v>1844</v>
      </c>
      <c r="Q170" s="2394"/>
      <c r="R170" s="2394"/>
      <c r="S170" s="2394"/>
      <c r="T170" s="2394"/>
      <c r="U170" s="2394"/>
      <c r="V170" s="2394"/>
      <c r="W170" s="2394"/>
      <c r="X170" s="2394"/>
      <c r="Y170" s="2394"/>
      <c r="Z170" s="2394"/>
      <c r="AA170" s="2394"/>
      <c r="AB170" s="2394"/>
      <c r="AC170" s="2394"/>
      <c r="AD170" s="2394"/>
      <c r="AE170" s="2394"/>
      <c r="AF170" s="2394"/>
      <c r="AG170" s="2394"/>
      <c r="AH170" s="2394"/>
      <c r="AI170" s="2394"/>
      <c r="AJ170" s="2394"/>
      <c r="AK170" s="2394"/>
      <c r="AL170" s="2394"/>
      <c r="AM170" s="2394"/>
      <c r="AN170" s="2394"/>
      <c r="AO170" s="2395"/>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6" t="s">
        <v>1845</v>
      </c>
      <c r="D171" s="2397"/>
      <c r="E171" s="2397"/>
      <c r="F171" s="2397"/>
      <c r="G171" s="2397"/>
      <c r="H171" s="2397"/>
      <c r="I171" s="2397" t="s">
        <v>1846</v>
      </c>
      <c r="J171" s="2397"/>
      <c r="K171" s="2397"/>
      <c r="L171" s="2397"/>
      <c r="M171" s="2397"/>
      <c r="N171" s="2398"/>
      <c r="O171" s="1209"/>
      <c r="P171" s="2399" t="s">
        <v>2184</v>
      </c>
      <c r="Q171" s="2400"/>
      <c r="R171" s="2400"/>
      <c r="S171" s="2400"/>
      <c r="T171" s="2400"/>
      <c r="U171" s="2400"/>
      <c r="V171" s="2400"/>
      <c r="W171" s="2400"/>
      <c r="X171" s="2400"/>
      <c r="Y171" s="2400"/>
      <c r="Z171" s="2400"/>
      <c r="AA171" s="2400"/>
      <c r="AB171" s="2400"/>
      <c r="AC171" s="2400"/>
      <c r="AD171" s="2400"/>
      <c r="AE171" s="2400"/>
      <c r="AF171" s="2400"/>
      <c r="AG171" s="2400"/>
      <c r="AH171" s="2400"/>
      <c r="AI171" s="2400"/>
      <c r="AJ171" s="2400"/>
      <c r="AK171" s="2400"/>
      <c r="AL171" s="2400"/>
      <c r="AM171" s="2400"/>
      <c r="AN171" s="2400"/>
      <c r="AO171" s="2401"/>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8"/>
      <c r="D172" s="2349"/>
      <c r="E172" s="2349"/>
      <c r="F172" s="2349"/>
      <c r="G172" s="2349"/>
      <c r="H172" s="2349"/>
      <c r="I172" s="2369"/>
      <c r="J172" s="2369"/>
      <c r="K172" s="2369"/>
      <c r="L172" s="2369"/>
      <c r="M172" s="2369"/>
      <c r="N172" s="2370"/>
      <c r="O172" s="1209"/>
      <c r="P172" s="2399"/>
      <c r="Q172" s="2400"/>
      <c r="R172" s="2400"/>
      <c r="S172" s="2400"/>
      <c r="T172" s="2400"/>
      <c r="U172" s="2400"/>
      <c r="V172" s="2400"/>
      <c r="W172" s="2400"/>
      <c r="X172" s="2400"/>
      <c r="Y172" s="2400"/>
      <c r="Z172" s="2400"/>
      <c r="AA172" s="2400"/>
      <c r="AB172" s="2400"/>
      <c r="AC172" s="2400"/>
      <c r="AD172" s="2400"/>
      <c r="AE172" s="2400"/>
      <c r="AF172" s="2400"/>
      <c r="AG172" s="2400"/>
      <c r="AH172" s="2400"/>
      <c r="AI172" s="2400"/>
      <c r="AJ172" s="2400"/>
      <c r="AK172" s="2400"/>
      <c r="AL172" s="2400"/>
      <c r="AM172" s="2400"/>
      <c r="AN172" s="2400"/>
      <c r="AO172" s="2401"/>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8"/>
      <c r="D173" s="2349"/>
      <c r="E173" s="2349"/>
      <c r="F173" s="2349"/>
      <c r="G173" s="2349"/>
      <c r="H173" s="2349"/>
      <c r="I173" s="2369"/>
      <c r="J173" s="2369"/>
      <c r="K173" s="2369"/>
      <c r="L173" s="2369"/>
      <c r="M173" s="2369"/>
      <c r="N173" s="2370"/>
      <c r="O173" s="1209"/>
      <c r="P173" s="2399"/>
      <c r="Q173" s="2400"/>
      <c r="R173" s="2400"/>
      <c r="S173" s="2400"/>
      <c r="T173" s="2400"/>
      <c r="U173" s="2400"/>
      <c r="V173" s="2400"/>
      <c r="W173" s="2400"/>
      <c r="X173" s="2400"/>
      <c r="Y173" s="2400"/>
      <c r="Z173" s="2400"/>
      <c r="AA173" s="2400"/>
      <c r="AB173" s="2400"/>
      <c r="AC173" s="2400"/>
      <c r="AD173" s="2400"/>
      <c r="AE173" s="2400"/>
      <c r="AF173" s="2400"/>
      <c r="AG173" s="2400"/>
      <c r="AH173" s="2400"/>
      <c r="AI173" s="2400"/>
      <c r="AJ173" s="2400"/>
      <c r="AK173" s="2400"/>
      <c r="AL173" s="2400"/>
      <c r="AM173" s="2400"/>
      <c r="AN173" s="2400"/>
      <c r="AO173" s="2401"/>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8"/>
      <c r="D174" s="2349"/>
      <c r="E174" s="2349"/>
      <c r="F174" s="2349"/>
      <c r="G174" s="2349"/>
      <c r="H174" s="2349"/>
      <c r="I174" s="2369"/>
      <c r="J174" s="2369"/>
      <c r="K174" s="2369"/>
      <c r="L174" s="2369"/>
      <c r="M174" s="2369"/>
      <c r="N174" s="2370"/>
      <c r="O174" s="1209"/>
      <c r="P174" s="2399"/>
      <c r="Q174" s="2400"/>
      <c r="R174" s="2400"/>
      <c r="S174" s="2400"/>
      <c r="T174" s="2400"/>
      <c r="U174" s="2400"/>
      <c r="V174" s="2400"/>
      <c r="W174" s="2400"/>
      <c r="X174" s="2400"/>
      <c r="Y174" s="2400"/>
      <c r="Z174" s="2400"/>
      <c r="AA174" s="2400"/>
      <c r="AB174" s="2400"/>
      <c r="AC174" s="2400"/>
      <c r="AD174" s="2400"/>
      <c r="AE174" s="2400"/>
      <c r="AF174" s="2400"/>
      <c r="AG174" s="2400"/>
      <c r="AH174" s="2400"/>
      <c r="AI174" s="2400"/>
      <c r="AJ174" s="2400"/>
      <c r="AK174" s="2400"/>
      <c r="AL174" s="2400"/>
      <c r="AM174" s="2400"/>
      <c r="AN174" s="2400"/>
      <c r="AO174" s="2401"/>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8"/>
      <c r="D175" s="2349"/>
      <c r="E175" s="2349"/>
      <c r="F175" s="2349"/>
      <c r="G175" s="2349"/>
      <c r="H175" s="2349"/>
      <c r="I175" s="2369"/>
      <c r="J175" s="2369"/>
      <c r="K175" s="2369"/>
      <c r="L175" s="2369"/>
      <c r="M175" s="2369"/>
      <c r="N175" s="2370"/>
      <c r="O175" s="1209"/>
      <c r="P175" s="2399"/>
      <c r="Q175" s="2400"/>
      <c r="R175" s="2400"/>
      <c r="S175" s="2400"/>
      <c r="T175" s="2400"/>
      <c r="U175" s="2400"/>
      <c r="V175" s="2400"/>
      <c r="W175" s="2400"/>
      <c r="X175" s="2400"/>
      <c r="Y175" s="2400"/>
      <c r="Z175" s="2400"/>
      <c r="AA175" s="2400"/>
      <c r="AB175" s="2400"/>
      <c r="AC175" s="2400"/>
      <c r="AD175" s="2400"/>
      <c r="AE175" s="2400"/>
      <c r="AF175" s="2400"/>
      <c r="AG175" s="2400"/>
      <c r="AH175" s="2400"/>
      <c r="AI175" s="2400"/>
      <c r="AJ175" s="2400"/>
      <c r="AK175" s="2400"/>
      <c r="AL175" s="2400"/>
      <c r="AM175" s="2400"/>
      <c r="AN175" s="2400"/>
      <c r="AO175" s="2401"/>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8"/>
      <c r="D176" s="2349"/>
      <c r="E176" s="2349"/>
      <c r="F176" s="2349"/>
      <c r="G176" s="2349"/>
      <c r="H176" s="2349"/>
      <c r="I176" s="2369"/>
      <c r="J176" s="2369"/>
      <c r="K176" s="2369"/>
      <c r="L176" s="2369"/>
      <c r="M176" s="2369"/>
      <c r="N176" s="2370"/>
      <c r="O176" s="1209"/>
      <c r="P176" s="2399"/>
      <c r="Q176" s="2400"/>
      <c r="R176" s="2400"/>
      <c r="S176" s="2400"/>
      <c r="T176" s="2400"/>
      <c r="U176" s="2400"/>
      <c r="V176" s="2400"/>
      <c r="W176" s="2400"/>
      <c r="X176" s="2400"/>
      <c r="Y176" s="2400"/>
      <c r="Z176" s="2400"/>
      <c r="AA176" s="2400"/>
      <c r="AB176" s="2400"/>
      <c r="AC176" s="2400"/>
      <c r="AD176" s="2400"/>
      <c r="AE176" s="2400"/>
      <c r="AF176" s="2400"/>
      <c r="AG176" s="2400"/>
      <c r="AH176" s="2400"/>
      <c r="AI176" s="2400"/>
      <c r="AJ176" s="2400"/>
      <c r="AK176" s="2400"/>
      <c r="AL176" s="2400"/>
      <c r="AM176" s="2400"/>
      <c r="AN176" s="2400"/>
      <c r="AO176" s="2401"/>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8"/>
      <c r="D177" s="2349"/>
      <c r="E177" s="2349"/>
      <c r="F177" s="2349"/>
      <c r="G177" s="2349"/>
      <c r="H177" s="2349"/>
      <c r="I177" s="2369"/>
      <c r="J177" s="2369"/>
      <c r="K177" s="2369"/>
      <c r="L177" s="2369"/>
      <c r="M177" s="2369"/>
      <c r="N177" s="2370"/>
      <c r="O177" s="1209"/>
      <c r="P177" s="2399"/>
      <c r="Q177" s="2400"/>
      <c r="R177" s="2400"/>
      <c r="S177" s="2400"/>
      <c r="T177" s="2400"/>
      <c r="U177" s="2400"/>
      <c r="V177" s="2400"/>
      <c r="W177" s="2400"/>
      <c r="X177" s="2400"/>
      <c r="Y177" s="2400"/>
      <c r="Z177" s="2400"/>
      <c r="AA177" s="2400"/>
      <c r="AB177" s="2400"/>
      <c r="AC177" s="2400"/>
      <c r="AD177" s="2400"/>
      <c r="AE177" s="2400"/>
      <c r="AF177" s="2400"/>
      <c r="AG177" s="2400"/>
      <c r="AH177" s="2400"/>
      <c r="AI177" s="2400"/>
      <c r="AJ177" s="2400"/>
      <c r="AK177" s="2400"/>
      <c r="AL177" s="2400"/>
      <c r="AM177" s="2400"/>
      <c r="AN177" s="2400"/>
      <c r="AO177" s="2401"/>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3"/>
      <c r="D178" s="2384"/>
      <c r="E178" s="2384"/>
      <c r="F178" s="2384"/>
      <c r="G178" s="2384"/>
      <c r="H178" s="2384"/>
      <c r="I178" s="2385"/>
      <c r="J178" s="2385"/>
      <c r="K178" s="2385"/>
      <c r="L178" s="2385"/>
      <c r="M178" s="2385"/>
      <c r="N178" s="2386"/>
      <c r="O178" s="1209"/>
      <c r="P178" s="2402"/>
      <c r="Q178" s="2403"/>
      <c r="R178" s="2403"/>
      <c r="S178" s="2403"/>
      <c r="T178" s="2403"/>
      <c r="U178" s="2403"/>
      <c r="V178" s="2403"/>
      <c r="W178" s="2403"/>
      <c r="X178" s="2403"/>
      <c r="Y178" s="2403"/>
      <c r="Z178" s="2403"/>
      <c r="AA178" s="2403"/>
      <c r="AB178" s="2403"/>
      <c r="AC178" s="2403"/>
      <c r="AD178" s="2403"/>
      <c r="AE178" s="2403"/>
      <c r="AF178" s="2403"/>
      <c r="AG178" s="2403"/>
      <c r="AH178" s="2403"/>
      <c r="AI178" s="2403"/>
      <c r="AJ178" s="2403"/>
      <c r="AK178" s="2403"/>
      <c r="AL178" s="2403"/>
      <c r="AM178" s="2403"/>
      <c r="AN178" s="2403"/>
      <c r="AO178" s="2404"/>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7" t="s">
        <v>2486</v>
      </c>
      <c r="D180" s="2388"/>
      <c r="E180" s="2388"/>
      <c r="F180" s="2388"/>
      <c r="G180" s="2388"/>
      <c r="H180" s="2388"/>
      <c r="I180" s="2388"/>
      <c r="J180" s="2388"/>
      <c r="K180" s="2388"/>
      <c r="L180" s="2388"/>
      <c r="M180" s="2388"/>
      <c r="N180" s="2388"/>
      <c r="O180" s="2388"/>
      <c r="P180" s="2388"/>
      <c r="Q180" s="2388"/>
      <c r="R180" s="2388"/>
      <c r="S180" s="2388"/>
      <c r="T180" s="2388"/>
      <c r="U180" s="2388"/>
      <c r="V180" s="2388"/>
      <c r="W180" s="2388"/>
      <c r="X180" s="2388"/>
      <c r="Y180" s="2388"/>
      <c r="Z180" s="2388"/>
      <c r="AA180" s="2388"/>
      <c r="AB180" s="2388"/>
      <c r="AC180" s="2388"/>
      <c r="AD180" s="2388"/>
      <c r="AE180" s="2389"/>
      <c r="AF180" s="1209"/>
      <c r="AG180" s="1209"/>
      <c r="AH180" s="2582" t="s">
        <v>2603</v>
      </c>
      <c r="AI180" s="2583"/>
      <c r="AJ180" s="2583"/>
      <c r="AK180" s="2583"/>
      <c r="AL180" s="2583"/>
      <c r="AM180" s="2583"/>
      <c r="AN180" s="2583"/>
      <c r="AO180" s="2583"/>
      <c r="AP180" s="2583"/>
      <c r="AQ180" s="2583"/>
      <c r="AR180" s="2583"/>
      <c r="AS180" s="2583"/>
      <c r="AT180" s="2583"/>
      <c r="AU180" s="2583"/>
      <c r="AV180" s="2583"/>
      <c r="AW180" s="2583"/>
      <c r="AX180" s="2583"/>
      <c r="AY180" s="2583"/>
      <c r="AZ180" s="2583"/>
      <c r="BA180" s="2583"/>
      <c r="BB180" s="2583"/>
      <c r="BC180" s="2583"/>
      <c r="BD180" s="2583"/>
      <c r="BE180" s="2584"/>
    </row>
    <row r="181" spans="1:57" ht="15.75" customHeight="1" thickBot="1">
      <c r="A181" s="1209"/>
      <c r="B181" s="1209"/>
      <c r="C181" s="2390"/>
      <c r="D181" s="2391"/>
      <c r="E181" s="2391"/>
      <c r="F181" s="2391"/>
      <c r="G181" s="2391"/>
      <c r="H181" s="2391"/>
      <c r="I181" s="2391"/>
      <c r="J181" s="2391"/>
      <c r="K181" s="2391"/>
      <c r="L181" s="2391"/>
      <c r="M181" s="2391"/>
      <c r="N181" s="2391"/>
      <c r="O181" s="2391"/>
      <c r="P181" s="2391"/>
      <c r="Q181" s="2391"/>
      <c r="R181" s="2391"/>
      <c r="S181" s="2391"/>
      <c r="T181" s="2391"/>
      <c r="U181" s="2391"/>
      <c r="V181" s="2391"/>
      <c r="W181" s="2391"/>
      <c r="X181" s="2391"/>
      <c r="Y181" s="2391"/>
      <c r="Z181" s="2391"/>
      <c r="AA181" s="2391"/>
      <c r="AB181" s="2391"/>
      <c r="AC181" s="2391"/>
      <c r="AD181" s="2391"/>
      <c r="AE181" s="2392"/>
      <c r="AF181" s="1209"/>
      <c r="AG181" s="1209"/>
      <c r="AH181" s="2585" t="s">
        <v>2624</v>
      </c>
      <c r="AI181" s="2585"/>
      <c r="AJ181" s="2585"/>
      <c r="AK181" s="2585"/>
      <c r="AL181" s="2585"/>
      <c r="AM181" s="2585"/>
      <c r="AN181" s="2585"/>
      <c r="AO181" s="2585"/>
      <c r="AP181" s="2585"/>
      <c r="AQ181" s="2585"/>
      <c r="AR181" s="2585"/>
      <c r="AS181" s="2585"/>
      <c r="AT181" s="2585"/>
      <c r="AU181" s="2585"/>
      <c r="AV181" s="2585"/>
      <c r="AW181" s="2585"/>
      <c r="AX181" s="2585"/>
      <c r="AY181" s="2585"/>
      <c r="AZ181" s="2585"/>
      <c r="BA181" s="2585"/>
      <c r="BB181" s="2585"/>
      <c r="BC181" s="2585"/>
      <c r="BD181" s="2585"/>
      <c r="BE181" s="2585"/>
    </row>
    <row r="182" spans="1:57" ht="15.75" customHeight="1">
      <c r="A182" s="1209"/>
      <c r="B182" s="1209"/>
      <c r="C182" s="2180" t="s">
        <v>1836</v>
      </c>
      <c r="D182" s="2181"/>
      <c r="E182" s="2181"/>
      <c r="F182" s="2181"/>
      <c r="G182" s="2181"/>
      <c r="H182" s="2181"/>
      <c r="I182" s="2181"/>
      <c r="J182" s="2181"/>
      <c r="K182" s="2181"/>
      <c r="L182" s="2181"/>
      <c r="M182" s="2181"/>
      <c r="N182" s="2181" t="s">
        <v>1847</v>
      </c>
      <c r="O182" s="2181"/>
      <c r="P182" s="2181"/>
      <c r="Q182" s="2181"/>
      <c r="R182" s="2181"/>
      <c r="S182" s="2181"/>
      <c r="T182" s="2181"/>
      <c r="U182" s="2213" t="s">
        <v>1836</v>
      </c>
      <c r="V182" s="2213"/>
      <c r="W182" s="2213"/>
      <c r="X182" s="2213"/>
      <c r="Y182" s="2213"/>
      <c r="Z182" s="2213"/>
      <c r="AA182" s="2213"/>
      <c r="AB182" s="2213"/>
      <c r="AC182" s="2213"/>
      <c r="AD182" s="2213"/>
      <c r="AE182" s="2214"/>
      <c r="AF182" s="1209"/>
      <c r="AG182" s="1209"/>
      <c r="AH182" s="2368" t="s">
        <v>2608</v>
      </c>
      <c r="AI182" s="2368"/>
      <c r="AJ182" s="2368"/>
      <c r="AK182" s="2368"/>
      <c r="AL182" s="2368"/>
      <c r="AM182" s="2368"/>
      <c r="AN182" s="2368"/>
      <c r="AO182" s="2368"/>
      <c r="AP182" s="2368"/>
      <c r="AQ182" s="2368"/>
      <c r="AR182" s="2368"/>
      <c r="AS182" s="2368"/>
      <c r="AT182" s="2368"/>
      <c r="AU182" s="2593">
        <v>2500000</v>
      </c>
      <c r="AV182" s="2593"/>
      <c r="AW182" s="2593"/>
      <c r="AX182" s="2593"/>
      <c r="AY182" s="2593"/>
      <c r="AZ182" s="2593"/>
      <c r="BA182" s="2593"/>
      <c r="BB182" s="2593"/>
      <c r="BC182" s="2597"/>
      <c r="BD182" s="2598"/>
      <c r="BE182" s="2599"/>
    </row>
    <row r="183" spans="1:57" ht="15.75" customHeight="1">
      <c r="A183" s="1209"/>
      <c r="B183" s="1209"/>
      <c r="C183" s="2357" t="s">
        <v>2487</v>
      </c>
      <c r="D183" s="2358"/>
      <c r="E183" s="2358"/>
      <c r="F183" s="2358"/>
      <c r="G183" s="2358"/>
      <c r="H183" s="2358"/>
      <c r="I183" s="2358"/>
      <c r="J183" s="2358"/>
      <c r="K183" s="2358"/>
      <c r="L183" s="2358"/>
      <c r="M183" s="2358"/>
      <c r="N183" s="2371">
        <f>'Sources and Uses Budget'!B105</f>
        <v>79958261</v>
      </c>
      <c r="O183" s="2371"/>
      <c r="P183" s="2371"/>
      <c r="Q183" s="2371"/>
      <c r="R183" s="2371"/>
      <c r="S183" s="2371"/>
      <c r="T183" s="2371"/>
      <c r="U183" s="2372"/>
      <c r="V183" s="2372"/>
      <c r="W183" s="2372"/>
      <c r="X183" s="2372"/>
      <c r="Y183" s="2372"/>
      <c r="Z183" s="2372"/>
      <c r="AA183" s="2372"/>
      <c r="AB183" s="2372"/>
      <c r="AC183" s="2372"/>
      <c r="AD183" s="2372"/>
      <c r="AE183" s="2373"/>
      <c r="AF183" s="1209"/>
      <c r="AG183" s="1209"/>
      <c r="AH183" s="2368" t="s">
        <v>2607</v>
      </c>
      <c r="AI183" s="2368"/>
      <c r="AJ183" s="2368"/>
      <c r="AK183" s="2368"/>
      <c r="AL183" s="2368"/>
      <c r="AM183" s="2368"/>
      <c r="AN183" s="2368"/>
      <c r="AO183" s="2368"/>
      <c r="AP183" s="2368"/>
      <c r="AQ183" s="2368"/>
      <c r="AR183" s="2368"/>
      <c r="AS183" s="2368"/>
      <c r="AT183" s="2368"/>
      <c r="AU183" s="2594">
        <f>MAX(0,Application!AG439-100)*20000</f>
        <v>1280000</v>
      </c>
      <c r="AV183" s="2594"/>
      <c r="AW183" s="2594"/>
      <c r="AX183" s="2594"/>
      <c r="AY183" s="2594"/>
      <c r="AZ183" s="2594"/>
      <c r="BA183" s="2594"/>
      <c r="BB183" s="2594"/>
      <c r="BC183" s="2327"/>
      <c r="BD183" s="2328"/>
      <c r="BE183" s="2329"/>
    </row>
    <row r="184" spans="1:57" ht="15.75" customHeight="1">
      <c r="A184" s="1209"/>
      <c r="B184" s="1209"/>
      <c r="C184" s="2357" t="s">
        <v>2488</v>
      </c>
      <c r="D184" s="2358"/>
      <c r="E184" s="2358"/>
      <c r="F184" s="2358"/>
      <c r="G184" s="2358"/>
      <c r="H184" s="2358"/>
      <c r="I184" s="2358"/>
      <c r="J184" s="2358"/>
      <c r="K184" s="2358"/>
      <c r="L184" s="2358"/>
      <c r="M184" s="2358"/>
      <c r="N184" s="2371">
        <f>N183/J29</f>
        <v>526041.19078947371</v>
      </c>
      <c r="O184" s="2371"/>
      <c r="P184" s="2371"/>
      <c r="Q184" s="2371"/>
      <c r="R184" s="2371"/>
      <c r="S184" s="2371"/>
      <c r="T184" s="2371"/>
      <c r="U184" s="1225"/>
      <c r="V184" s="1225"/>
      <c r="W184" s="1225"/>
      <c r="X184" s="1225"/>
      <c r="Y184" s="1225"/>
      <c r="Z184" s="1225"/>
      <c r="AA184" s="1225"/>
      <c r="AB184" s="1225"/>
      <c r="AC184" s="1225"/>
      <c r="AD184" s="1225"/>
      <c r="AE184" s="1224"/>
      <c r="AF184" s="1209"/>
      <c r="AG184" s="1209"/>
      <c r="AH184" s="2586" t="s">
        <v>2606</v>
      </c>
      <c r="AI184" s="2586"/>
      <c r="AJ184" s="2586"/>
      <c r="AK184" s="2586"/>
      <c r="AL184" s="2586"/>
      <c r="AM184" s="2586"/>
      <c r="AN184" s="2586"/>
      <c r="AO184" s="2586"/>
      <c r="AP184" s="2586"/>
      <c r="AQ184" s="2586"/>
      <c r="AR184" s="2586"/>
      <c r="AS184" s="2586"/>
      <c r="AT184" s="2586"/>
      <c r="AU184" s="2326">
        <f>AU182+AU183</f>
        <v>3780000</v>
      </c>
      <c r="AV184" s="2326"/>
      <c r="AW184" s="2326"/>
      <c r="AX184" s="2326"/>
      <c r="AY184" s="2326"/>
      <c r="AZ184" s="2326"/>
      <c r="BA184" s="2326"/>
      <c r="BB184" s="2326"/>
      <c r="BC184" s="2327"/>
      <c r="BD184" s="2328"/>
      <c r="BE184" s="2329"/>
    </row>
    <row r="185" spans="1:57" ht="15.75" customHeight="1">
      <c r="A185" s="1209"/>
      <c r="B185" s="1209"/>
      <c r="C185" s="2374" t="s">
        <v>2489</v>
      </c>
      <c r="D185" s="2375"/>
      <c r="E185" s="2375"/>
      <c r="F185" s="2375"/>
      <c r="G185" s="2375"/>
      <c r="H185" s="2375"/>
      <c r="I185" s="2375"/>
      <c r="J185" s="2375"/>
      <c r="K185" s="2375"/>
      <c r="L185" s="2375"/>
      <c r="M185" s="2375"/>
      <c r="N185" s="2209">
        <v>0</v>
      </c>
      <c r="O185" s="2209"/>
      <c r="P185" s="2209"/>
      <c r="Q185" s="2209"/>
      <c r="R185" s="2209"/>
      <c r="S185" s="2209"/>
      <c r="T185" s="2209"/>
      <c r="U185" s="2352"/>
      <c r="V185" s="2352"/>
      <c r="W185" s="2352"/>
      <c r="X185" s="2352"/>
      <c r="Y185" s="2352"/>
      <c r="Z185" s="2352"/>
      <c r="AA185" s="2352"/>
      <c r="AB185" s="2352"/>
      <c r="AC185" s="2352"/>
      <c r="AD185" s="2352"/>
      <c r="AE185" s="2353"/>
      <c r="AF185" s="1209"/>
      <c r="AG185" s="1209"/>
      <c r="AH185" s="2596" t="s">
        <v>2605</v>
      </c>
      <c r="AI185" s="2596"/>
      <c r="AJ185" s="2596"/>
      <c r="AK185" s="2596"/>
      <c r="AL185" s="2596"/>
      <c r="AM185" s="2596"/>
      <c r="AN185" s="2596"/>
      <c r="AO185" s="2596"/>
      <c r="AP185" s="2596"/>
      <c r="AQ185" s="2596"/>
      <c r="AR185" s="2596"/>
      <c r="AS185" s="2596"/>
      <c r="AT185" s="2596"/>
      <c r="AU185" s="2595" t="str">
        <f>IF(AU189-AU192&lt;=AU184,"Y","N")</f>
        <v>Y</v>
      </c>
      <c r="AV185" s="2595"/>
      <c r="AW185" s="2595"/>
      <c r="AX185" s="2595"/>
      <c r="AY185" s="2595"/>
      <c r="AZ185" s="2595"/>
      <c r="BA185" s="2595"/>
      <c r="BB185" s="2595"/>
      <c r="BC185" s="2327"/>
      <c r="BD185" s="2328"/>
      <c r="BE185" s="2329"/>
    </row>
    <row r="186" spans="1:57" ht="15.75" customHeight="1" thickBot="1">
      <c r="A186" s="1209"/>
      <c r="B186" s="1209"/>
      <c r="C186" s="2357" t="s">
        <v>2490</v>
      </c>
      <c r="D186" s="2358"/>
      <c r="E186" s="2358"/>
      <c r="F186" s="2358"/>
      <c r="G186" s="2358"/>
      <c r="H186" s="2358"/>
      <c r="I186" s="2358"/>
      <c r="J186" s="2358"/>
      <c r="K186" s="2358"/>
      <c r="L186" s="2358"/>
      <c r="M186" s="2358"/>
      <c r="N186" s="2359">
        <f>SUM('Sources and Uses Budget'!B85:B86)</f>
        <v>9157949</v>
      </c>
      <c r="O186" s="2359"/>
      <c r="P186" s="2359"/>
      <c r="Q186" s="2359"/>
      <c r="R186" s="2359"/>
      <c r="S186" s="2359"/>
      <c r="T186" s="2359"/>
      <c r="U186" s="2352"/>
      <c r="V186" s="2352"/>
      <c r="W186" s="2352"/>
      <c r="X186" s="2352"/>
      <c r="Y186" s="2352"/>
      <c r="Z186" s="2352"/>
      <c r="AA186" s="2352"/>
      <c r="AB186" s="2352"/>
      <c r="AC186" s="2352"/>
      <c r="AD186" s="2352"/>
      <c r="AE186" s="2353"/>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7" t="s">
        <v>2491</v>
      </c>
      <c r="D187" s="2358"/>
      <c r="E187" s="2358"/>
      <c r="F187" s="2358"/>
      <c r="G187" s="2358"/>
      <c r="H187" s="2358"/>
      <c r="I187" s="2358"/>
      <c r="J187" s="2358"/>
      <c r="K187" s="2358"/>
      <c r="L187" s="2358"/>
      <c r="M187" s="2358"/>
      <c r="N187" s="2359">
        <f>'Sources and Uses Budget'!B8</f>
        <v>3600000</v>
      </c>
      <c r="O187" s="2359"/>
      <c r="P187" s="2359"/>
      <c r="Q187" s="2359"/>
      <c r="R187" s="2359"/>
      <c r="S187" s="2359"/>
      <c r="T187" s="2359"/>
      <c r="U187" s="2352"/>
      <c r="V187" s="2352"/>
      <c r="W187" s="2352"/>
      <c r="X187" s="2352"/>
      <c r="Y187" s="2352"/>
      <c r="Z187" s="2352"/>
      <c r="AA187" s="2352"/>
      <c r="AB187" s="2352"/>
      <c r="AC187" s="2352"/>
      <c r="AD187" s="2352"/>
      <c r="AE187" s="2353"/>
      <c r="AF187" s="1209"/>
      <c r="AG187" s="1209"/>
      <c r="AH187" s="2360" t="s">
        <v>1848</v>
      </c>
      <c r="AI187" s="2361"/>
      <c r="AJ187" s="2361"/>
      <c r="AK187" s="2361"/>
      <c r="AL187" s="2361"/>
      <c r="AM187" s="2361"/>
      <c r="AN187" s="2361"/>
      <c r="AO187" s="2361"/>
      <c r="AP187" s="2361"/>
      <c r="AQ187" s="2361"/>
      <c r="AR187" s="2361"/>
      <c r="AS187" s="2361"/>
      <c r="AT187" s="2361"/>
      <c r="AU187" s="2361"/>
      <c r="AV187" s="2361"/>
      <c r="AW187" s="2361"/>
      <c r="AX187" s="2361"/>
      <c r="AY187" s="2361"/>
      <c r="AZ187" s="2361"/>
      <c r="BA187" s="2361"/>
      <c r="BB187" s="2361"/>
      <c r="BC187" s="2361"/>
      <c r="BD187" s="2361"/>
      <c r="BE187" s="2362"/>
    </row>
    <row r="188" spans="1:57" ht="15.75" customHeight="1">
      <c r="A188" s="1209"/>
      <c r="B188" s="1209"/>
      <c r="C188" s="2357" t="s">
        <v>2492</v>
      </c>
      <c r="D188" s="2358"/>
      <c r="E188" s="2358"/>
      <c r="F188" s="2358"/>
      <c r="G188" s="2358"/>
      <c r="H188" s="2358"/>
      <c r="I188" s="2358"/>
      <c r="J188" s="2358"/>
      <c r="K188" s="2358"/>
      <c r="L188" s="2358"/>
      <c r="M188" s="2358"/>
      <c r="N188" s="2351">
        <v>0</v>
      </c>
      <c r="O188" s="2351"/>
      <c r="P188" s="2351"/>
      <c r="Q188" s="2351"/>
      <c r="R188" s="2351"/>
      <c r="S188" s="2351"/>
      <c r="T188" s="2351"/>
      <c r="U188" s="2352"/>
      <c r="V188" s="2352"/>
      <c r="W188" s="2352"/>
      <c r="X188" s="2352"/>
      <c r="Y188" s="2352"/>
      <c r="Z188" s="2352"/>
      <c r="AA188" s="2352"/>
      <c r="AB188" s="2352"/>
      <c r="AC188" s="2352"/>
      <c r="AD188" s="2352"/>
      <c r="AE188" s="2353"/>
      <c r="AF188" s="1209"/>
      <c r="AG188" s="1209"/>
      <c r="AH188" s="2363" t="s">
        <v>1848</v>
      </c>
      <c r="AI188" s="2363"/>
      <c r="AJ188" s="2363"/>
      <c r="AK188" s="2363"/>
      <c r="AL188" s="2363"/>
      <c r="AM188" s="2363"/>
      <c r="AN188" s="2363"/>
      <c r="AO188" s="2363"/>
      <c r="AP188" s="2363"/>
      <c r="AQ188" s="2363"/>
      <c r="AR188" s="2363"/>
      <c r="AS188" s="2363"/>
      <c r="AT188" s="2363"/>
      <c r="AU188" s="2364">
        <v>0</v>
      </c>
      <c r="AV188" s="2364"/>
      <c r="AW188" s="2364"/>
      <c r="AX188" s="2364"/>
      <c r="AY188" s="2364"/>
      <c r="AZ188" s="2364"/>
      <c r="BA188" s="2364"/>
      <c r="BB188" s="2364"/>
      <c r="BC188" s="2365"/>
      <c r="BD188" s="2366"/>
      <c r="BE188" s="2367"/>
    </row>
    <row r="189" spans="1:57" ht="15.75" customHeight="1">
      <c r="A189" s="1209"/>
      <c r="B189" s="1209"/>
      <c r="C189" s="2357" t="s">
        <v>2493</v>
      </c>
      <c r="D189" s="2358"/>
      <c r="E189" s="2358"/>
      <c r="F189" s="2358"/>
      <c r="G189" s="2358"/>
      <c r="H189" s="2358"/>
      <c r="I189" s="2358"/>
      <c r="J189" s="2358"/>
      <c r="K189" s="2358"/>
      <c r="L189" s="2358"/>
      <c r="M189" s="2358"/>
      <c r="N189" s="2351">
        <v>0</v>
      </c>
      <c r="O189" s="2351"/>
      <c r="P189" s="2351"/>
      <c r="Q189" s="2351"/>
      <c r="R189" s="2351"/>
      <c r="S189" s="2351"/>
      <c r="T189" s="2351"/>
      <c r="U189" s="2352"/>
      <c r="V189" s="2352"/>
      <c r="W189" s="2352"/>
      <c r="X189" s="2352"/>
      <c r="Y189" s="2352"/>
      <c r="Z189" s="2352"/>
      <c r="AA189" s="2352"/>
      <c r="AB189" s="2352"/>
      <c r="AC189" s="2352"/>
      <c r="AD189" s="2352"/>
      <c r="AE189" s="2353"/>
      <c r="AF189" s="1209"/>
      <c r="AG189" s="1209"/>
      <c r="AH189" s="2368" t="s">
        <v>2604</v>
      </c>
      <c r="AI189" s="2368"/>
      <c r="AJ189" s="2368"/>
      <c r="AK189" s="2368"/>
      <c r="AL189" s="2368"/>
      <c r="AM189" s="2368"/>
      <c r="AN189" s="2368"/>
      <c r="AO189" s="2368"/>
      <c r="AP189" s="2368"/>
      <c r="AQ189" s="2368"/>
      <c r="AR189" s="2368"/>
      <c r="AS189" s="2368"/>
      <c r="AT189" s="2368"/>
      <c r="AU189" s="2356"/>
      <c r="AV189" s="2356"/>
      <c r="AW189" s="2356"/>
      <c r="AX189" s="2356"/>
      <c r="AY189" s="2356"/>
      <c r="AZ189" s="2356"/>
      <c r="BA189" s="2356"/>
      <c r="BB189" s="2356"/>
      <c r="BC189" s="2327"/>
      <c r="BD189" s="2328"/>
      <c r="BE189" s="2329"/>
    </row>
    <row r="190" spans="1:57" ht="15.75" customHeight="1">
      <c r="A190" s="1209"/>
      <c r="B190" s="1209"/>
      <c r="C190" s="2354" t="s">
        <v>301</v>
      </c>
      <c r="D190" s="2355"/>
      <c r="E190" s="2350" t="s">
        <v>1842</v>
      </c>
      <c r="F190" s="2350"/>
      <c r="G190" s="2350"/>
      <c r="H190" s="2350"/>
      <c r="I190" s="2350"/>
      <c r="J190" s="2350"/>
      <c r="K190" s="2350"/>
      <c r="L190" s="2350"/>
      <c r="M190" s="2350"/>
      <c r="N190" s="2351">
        <v>0</v>
      </c>
      <c r="O190" s="2351"/>
      <c r="P190" s="2351"/>
      <c r="Q190" s="2351"/>
      <c r="R190" s="2351"/>
      <c r="S190" s="2351"/>
      <c r="T190" s="2351"/>
      <c r="U190" s="2352"/>
      <c r="V190" s="2352"/>
      <c r="W190" s="2352"/>
      <c r="X190" s="2352"/>
      <c r="Y190" s="2352"/>
      <c r="Z190" s="2352"/>
      <c r="AA190" s="2352"/>
      <c r="AB190" s="2352"/>
      <c r="AC190" s="2352"/>
      <c r="AD190" s="2352"/>
      <c r="AE190" s="2353"/>
      <c r="AF190" s="1209"/>
      <c r="AG190" s="1209"/>
      <c r="AH190" s="2586" t="s">
        <v>2603</v>
      </c>
      <c r="AI190" s="2586"/>
      <c r="AJ190" s="2586"/>
      <c r="AK190" s="2586"/>
      <c r="AL190" s="2586"/>
      <c r="AM190" s="2586"/>
      <c r="AN190" s="2586"/>
      <c r="AO190" s="2586"/>
      <c r="AP190" s="2586"/>
      <c r="AQ190" s="2586"/>
      <c r="AR190" s="2586"/>
      <c r="AS190" s="2586"/>
      <c r="AT190" s="2586"/>
      <c r="AU190" s="2326">
        <f>SUM(AU188:BB189)</f>
        <v>0</v>
      </c>
      <c r="AV190" s="2326"/>
      <c r="AW190" s="2326"/>
      <c r="AX190" s="2326"/>
      <c r="AY190" s="2326"/>
      <c r="AZ190" s="2326"/>
      <c r="BA190" s="2326"/>
      <c r="BB190" s="2326"/>
      <c r="BC190" s="2327"/>
      <c r="BD190" s="2328"/>
      <c r="BE190" s="2329"/>
    </row>
    <row r="191" spans="1:57" ht="15.75" customHeight="1" thickBot="1">
      <c r="A191" s="1209"/>
      <c r="B191" s="1209"/>
      <c r="C191" s="2348" t="s">
        <v>301</v>
      </c>
      <c r="D191" s="2349"/>
      <c r="E191" s="2350" t="s">
        <v>1842</v>
      </c>
      <c r="F191" s="2350"/>
      <c r="G191" s="2350"/>
      <c r="H191" s="2350"/>
      <c r="I191" s="2350"/>
      <c r="J191" s="2350"/>
      <c r="K191" s="2350"/>
      <c r="L191" s="2350"/>
      <c r="M191" s="2350"/>
      <c r="N191" s="2351">
        <v>0</v>
      </c>
      <c r="O191" s="2351"/>
      <c r="P191" s="2351"/>
      <c r="Q191" s="2351"/>
      <c r="R191" s="2351"/>
      <c r="S191" s="2351"/>
      <c r="T191" s="2351"/>
      <c r="U191" s="2352"/>
      <c r="V191" s="2352"/>
      <c r="W191" s="2352"/>
      <c r="X191" s="2352"/>
      <c r="Y191" s="2352"/>
      <c r="Z191" s="2352"/>
      <c r="AA191" s="2352"/>
      <c r="AB191" s="2352"/>
      <c r="AC191" s="2352"/>
      <c r="AD191" s="2352"/>
      <c r="AE191" s="2353"/>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0"/>
      <c r="BD191" s="2331"/>
      <c r="BE191" s="2332"/>
    </row>
    <row r="192" spans="1:57" ht="15.75" customHeight="1" thickBot="1">
      <c r="A192" s="1209"/>
      <c r="B192" s="1209"/>
      <c r="C192" s="2337" t="s">
        <v>301</v>
      </c>
      <c r="D192" s="2338"/>
      <c r="E192" s="2339" t="s">
        <v>1842</v>
      </c>
      <c r="F192" s="2339"/>
      <c r="G192" s="2339"/>
      <c r="H192" s="2339"/>
      <c r="I192" s="2339"/>
      <c r="J192" s="2339"/>
      <c r="K192" s="2339"/>
      <c r="L192" s="2339"/>
      <c r="M192" s="2340"/>
      <c r="N192" s="2341">
        <v>0</v>
      </c>
      <c r="O192" s="2341"/>
      <c r="P192" s="2341"/>
      <c r="Q192" s="2341"/>
      <c r="R192" s="2341"/>
      <c r="S192" s="2341"/>
      <c r="T192" s="2342"/>
      <c r="U192" s="2343"/>
      <c r="V192" s="2344"/>
      <c r="W192" s="2344"/>
      <c r="X192" s="2344"/>
      <c r="Y192" s="2344"/>
      <c r="Z192" s="2344"/>
      <c r="AA192" s="2344"/>
      <c r="AB192" s="2344"/>
      <c r="AC192" s="2344"/>
      <c r="AD192" s="2344"/>
      <c r="AE192" s="2345"/>
      <c r="AF192" s="1209"/>
      <c r="AG192" s="1209"/>
      <c r="AH192" s="2311" t="s">
        <v>1849</v>
      </c>
      <c r="AI192" s="2312"/>
      <c r="AJ192" s="2312"/>
      <c r="AK192" s="2312"/>
      <c r="AL192" s="2312"/>
      <c r="AM192" s="2312"/>
      <c r="AN192" s="2312"/>
      <c r="AO192" s="2312"/>
      <c r="AP192" s="2312"/>
      <c r="AQ192" s="2312"/>
      <c r="AR192" s="2312"/>
      <c r="AS192" s="2312"/>
      <c r="AT192" s="2312"/>
      <c r="AU192" s="2321"/>
      <c r="AV192" s="2321"/>
      <c r="AW192" s="2321"/>
      <c r="AX192" s="2321"/>
      <c r="AY192" s="2321"/>
      <c r="AZ192" s="2321"/>
      <c r="BA192" s="2321"/>
      <c r="BB192" s="2321"/>
      <c r="BC192" s="1222"/>
      <c r="BD192" s="1222"/>
      <c r="BE192" s="1221"/>
    </row>
    <row r="193" spans="1:57" ht="15.75" customHeight="1">
      <c r="A193" s="1209"/>
      <c r="B193" s="1209"/>
      <c r="C193" s="2333" t="s">
        <v>1850</v>
      </c>
      <c r="D193" s="2334"/>
      <c r="E193" s="2334"/>
      <c r="F193" s="2334"/>
      <c r="G193" s="2334"/>
      <c r="H193" s="2334"/>
      <c r="I193" s="2334"/>
      <c r="J193" s="2334"/>
      <c r="K193" s="2334"/>
      <c r="L193" s="2334"/>
      <c r="M193" s="2334"/>
      <c r="N193" s="2335">
        <f>SUM(N185:T192)</f>
        <v>12757949</v>
      </c>
      <c r="O193" s="2335"/>
      <c r="P193" s="2335"/>
      <c r="Q193" s="2335"/>
      <c r="R193" s="2335"/>
      <c r="S193" s="2335"/>
      <c r="T193" s="2336"/>
      <c r="U193" s="1209"/>
      <c r="V193" s="1209"/>
      <c r="W193" s="1209"/>
      <c r="X193" s="1209"/>
      <c r="Y193" s="1209"/>
      <c r="Z193" s="1209"/>
      <c r="AA193" s="1209"/>
      <c r="AB193" s="1209"/>
      <c r="AC193" s="1209"/>
      <c r="AD193" s="1209"/>
      <c r="AE193" s="1209"/>
      <c r="AF193" s="1209"/>
      <c r="AG193" s="1209"/>
      <c r="AH193" s="2346" t="s">
        <v>2602</v>
      </c>
      <c r="AI193" s="2346"/>
      <c r="AJ193" s="2346"/>
      <c r="AK193" s="2346"/>
      <c r="AL193" s="2346"/>
      <c r="AM193" s="2346"/>
      <c r="AN193" s="2346"/>
      <c r="AO193" s="2346"/>
      <c r="AP193" s="2346"/>
      <c r="AQ193" s="2346"/>
      <c r="AR193" s="2346"/>
      <c r="AS193" s="2346"/>
      <c r="AT193" s="2346"/>
      <c r="AU193" s="2346"/>
      <c r="AV193" s="2346"/>
      <c r="AW193" s="2346"/>
      <c r="AX193" s="2346"/>
      <c r="AY193" s="2346"/>
      <c r="AZ193" s="2346"/>
      <c r="BA193" s="2346"/>
      <c r="BB193" s="2346"/>
      <c r="BC193" s="2346"/>
      <c r="BD193" s="2346"/>
      <c r="BE193" s="2347"/>
    </row>
    <row r="194" spans="1:57" ht="15.75" customHeight="1" thickBot="1">
      <c r="A194" s="1209"/>
      <c r="B194" s="1209"/>
      <c r="C194" s="2313" t="s">
        <v>2494</v>
      </c>
      <c r="D194" s="2314"/>
      <c r="E194" s="2314"/>
      <c r="F194" s="2314"/>
      <c r="G194" s="2314"/>
      <c r="H194" s="2314"/>
      <c r="I194" s="2314"/>
      <c r="J194" s="2314"/>
      <c r="K194" s="2314"/>
      <c r="L194" s="2314"/>
      <c r="M194" s="2314"/>
      <c r="N194" s="2315">
        <f>(N183-N193)/J29</f>
        <v>442107.31578947371</v>
      </c>
      <c r="O194" s="2316"/>
      <c r="P194" s="2316"/>
      <c r="Q194" s="2316"/>
      <c r="R194" s="2316"/>
      <c r="S194" s="2316"/>
      <c r="T194" s="2317"/>
      <c r="U194" s="1220"/>
      <c r="V194" s="1209"/>
      <c r="W194" s="1209"/>
      <c r="X194" s="1209"/>
      <c r="Y194" s="1209"/>
      <c r="Z194" s="1209"/>
      <c r="AA194" s="1209"/>
      <c r="AB194" s="1209"/>
      <c r="AC194" s="1209"/>
      <c r="AD194" s="1209"/>
      <c r="AE194" s="1209"/>
      <c r="AF194" s="1209"/>
      <c r="AG194" s="1209"/>
      <c r="AH194" s="2346"/>
      <c r="AI194" s="2346"/>
      <c r="AJ194" s="2346"/>
      <c r="AK194" s="2346"/>
      <c r="AL194" s="2346"/>
      <c r="AM194" s="2346"/>
      <c r="AN194" s="2346"/>
      <c r="AO194" s="2346"/>
      <c r="AP194" s="2346"/>
      <c r="AQ194" s="2346"/>
      <c r="AR194" s="2346"/>
      <c r="AS194" s="2346"/>
      <c r="AT194" s="2346"/>
      <c r="AU194" s="2346"/>
      <c r="AV194" s="2346"/>
      <c r="AW194" s="2346"/>
      <c r="AX194" s="2346"/>
      <c r="AY194" s="2346"/>
      <c r="AZ194" s="2346"/>
      <c r="BA194" s="2346"/>
      <c r="BB194" s="2346"/>
      <c r="BC194" s="2346"/>
      <c r="BD194" s="2346"/>
      <c r="BE194" s="2347"/>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8"/>
      <c r="AI195" s="2318"/>
      <c r="AJ195" s="2318"/>
      <c r="AK195" s="2318"/>
      <c r="AL195" s="2318"/>
      <c r="AM195" s="2318"/>
      <c r="AN195" s="2318"/>
      <c r="AO195" s="2318"/>
      <c r="AP195" s="2318"/>
      <c r="AQ195" s="2318"/>
      <c r="AR195" s="2318"/>
      <c r="AS195" s="2322"/>
      <c r="AT195" s="2322"/>
      <c r="AU195" s="2322"/>
      <c r="AV195" s="2322"/>
      <c r="AW195" s="2322"/>
      <c r="AX195" s="2322"/>
      <c r="AY195" s="2322"/>
      <c r="AZ195" s="2322"/>
      <c r="BA195" s="2322"/>
      <c r="BB195" s="2322"/>
      <c r="BC195" s="2322"/>
      <c r="BD195" s="2322"/>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3" t="s">
        <v>2601</v>
      </c>
      <c r="D197" s="2324"/>
      <c r="E197" s="2324"/>
      <c r="F197" s="2324"/>
      <c r="G197" s="2324"/>
      <c r="H197" s="2324"/>
      <c r="I197" s="2324"/>
      <c r="J197" s="2324"/>
      <c r="K197" s="2324"/>
      <c r="L197" s="2324"/>
      <c r="M197" s="2324"/>
      <c r="N197" s="2324"/>
      <c r="O197" s="2324"/>
      <c r="P197" s="2324"/>
      <c r="Q197" s="2324"/>
      <c r="R197" s="2324"/>
      <c r="S197" s="2324"/>
      <c r="T197" s="2324"/>
      <c r="U197" s="2324"/>
      <c r="V197" s="2324"/>
      <c r="W197" s="2324"/>
      <c r="X197" s="2324"/>
      <c r="Y197" s="2324"/>
      <c r="Z197" s="2324"/>
      <c r="AA197" s="2324"/>
      <c r="AB197" s="2324"/>
      <c r="AC197" s="2324"/>
      <c r="AD197" s="2324"/>
      <c r="AE197" s="2325"/>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89" t="s">
        <v>2600</v>
      </c>
      <c r="D198" s="2589"/>
      <c r="E198" s="2589"/>
      <c r="F198" s="2589"/>
      <c r="G198" s="2589"/>
      <c r="H198" s="2589"/>
      <c r="I198" s="2589"/>
      <c r="J198" s="2589"/>
      <c r="K198" s="2589"/>
      <c r="L198" s="2589"/>
      <c r="M198" s="2589"/>
      <c r="N198" s="2589"/>
      <c r="O198" s="2590" t="s">
        <v>2599</v>
      </c>
      <c r="P198" s="2590"/>
      <c r="Q198" s="2590"/>
      <c r="R198" s="2590"/>
      <c r="S198" s="2590"/>
      <c r="T198" s="2590"/>
      <c r="U198" s="2590"/>
      <c r="V198" s="2590"/>
      <c r="W198" s="2590"/>
      <c r="X198" s="2590" t="s">
        <v>2598</v>
      </c>
      <c r="Y198" s="2590"/>
      <c r="Z198" s="2590"/>
      <c r="AA198" s="2590"/>
      <c r="AB198" s="2590"/>
      <c r="AC198" s="2590"/>
      <c r="AD198" s="2590"/>
      <c r="AE198" s="259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7" t="s">
        <v>2597</v>
      </c>
      <c r="D199" s="2587"/>
      <c r="E199" s="2587"/>
      <c r="F199" s="2587"/>
      <c r="G199" s="2587"/>
      <c r="H199" s="2587"/>
      <c r="I199" s="2587"/>
      <c r="J199" s="2587"/>
      <c r="K199" s="2587"/>
      <c r="L199" s="2587"/>
      <c r="M199" s="2587"/>
      <c r="N199" s="2587"/>
      <c r="O199" s="2319" t="s">
        <v>2596</v>
      </c>
      <c r="P199" s="2319"/>
      <c r="Q199" s="2319"/>
      <c r="R199" s="2319"/>
      <c r="S199" s="2319"/>
      <c r="T199" s="2319"/>
      <c r="U199" s="2319"/>
      <c r="V199" s="2319"/>
      <c r="W199" s="2319"/>
      <c r="X199" s="2320">
        <v>0.03</v>
      </c>
      <c r="Y199" s="2320"/>
      <c r="Z199" s="2320"/>
      <c r="AA199" s="2320"/>
      <c r="AB199" s="2320"/>
      <c r="AC199" s="2320"/>
      <c r="AD199" s="2320"/>
      <c r="AE199" s="2320"/>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7" t="s">
        <v>865</v>
      </c>
      <c r="D200" s="2587"/>
      <c r="E200" s="2587"/>
      <c r="F200" s="2587"/>
      <c r="G200" s="2587"/>
      <c r="H200" s="2587"/>
      <c r="I200" s="2587"/>
      <c r="J200" s="2587"/>
      <c r="K200" s="2587"/>
      <c r="L200" s="2587"/>
      <c r="M200" s="2587"/>
      <c r="N200" s="2587"/>
      <c r="O200" s="2319" t="s">
        <v>2596</v>
      </c>
      <c r="P200" s="2319"/>
      <c r="Q200" s="2319"/>
      <c r="R200" s="2319"/>
      <c r="S200" s="2319"/>
      <c r="T200" s="2319"/>
      <c r="U200" s="2319"/>
      <c r="V200" s="2319"/>
      <c r="W200" s="2319"/>
      <c r="X200" s="2320">
        <v>0.03</v>
      </c>
      <c r="Y200" s="2320"/>
      <c r="Z200" s="2320"/>
      <c r="AA200" s="2320"/>
      <c r="AB200" s="2320"/>
      <c r="AC200" s="2320"/>
      <c r="AD200" s="2320"/>
      <c r="AE200" s="2320"/>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7" t="s">
        <v>2595</v>
      </c>
      <c r="D201" s="2587"/>
      <c r="E201" s="2587"/>
      <c r="F201" s="2587"/>
      <c r="G201" s="2587"/>
      <c r="H201" s="2587"/>
      <c r="I201" s="2587"/>
      <c r="J201" s="2587"/>
      <c r="K201" s="2587"/>
      <c r="L201" s="2587"/>
      <c r="M201" s="2587"/>
      <c r="N201" s="2587"/>
      <c r="O201" s="2591">
        <f>SUM(O199:W200)</f>
        <v>0</v>
      </c>
      <c r="P201" s="2592"/>
      <c r="Q201" s="2592"/>
      <c r="R201" s="2592"/>
      <c r="S201" s="2592"/>
      <c r="T201" s="2592"/>
      <c r="U201" s="2592"/>
      <c r="V201" s="2592"/>
      <c r="W201" s="2592"/>
      <c r="X201" s="2592" t="s">
        <v>2594</v>
      </c>
      <c r="Y201" s="2592"/>
      <c r="Z201" s="2592"/>
      <c r="AA201" s="2592"/>
      <c r="AB201" s="2592"/>
      <c r="AC201" s="2592"/>
      <c r="AD201" s="2592"/>
      <c r="AE201" s="259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8" t="s">
        <v>2593</v>
      </c>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2588"/>
      <c r="AD202" s="2588"/>
      <c r="AE202" s="258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8" t="s">
        <v>2592</v>
      </c>
      <c r="D204" s="2299"/>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2299"/>
      <c r="AD204" s="2299"/>
      <c r="AE204" s="2299"/>
      <c r="AF204" s="2299"/>
      <c r="AG204" s="2299"/>
      <c r="AH204" s="2299"/>
      <c r="AI204" s="2299"/>
      <c r="AJ204" s="2299"/>
      <c r="AK204" s="2300"/>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1" t="s">
        <v>2591</v>
      </c>
      <c r="D205" s="2259"/>
      <c r="E205" s="2259"/>
      <c r="F205" s="2302"/>
      <c r="G205" s="2258" t="s">
        <v>2590</v>
      </c>
      <c r="H205" s="2259"/>
      <c r="I205" s="2259"/>
      <c r="J205" s="2259"/>
      <c r="K205" s="2259"/>
      <c r="L205" s="2259"/>
      <c r="M205" s="2259"/>
      <c r="N205" s="2259"/>
      <c r="O205" s="2302"/>
      <c r="P205" s="2305" t="s">
        <v>2589</v>
      </c>
      <c r="Q205" s="2306"/>
      <c r="R205" s="2306"/>
      <c r="S205" s="2306"/>
      <c r="T205" s="2307"/>
      <c r="U205" s="2252" t="s">
        <v>2588</v>
      </c>
      <c r="V205" s="2253"/>
      <c r="W205" s="2253"/>
      <c r="X205" s="2254"/>
      <c r="Y205" s="2252" t="s">
        <v>2587</v>
      </c>
      <c r="Z205" s="2253"/>
      <c r="AA205" s="2253"/>
      <c r="AB205" s="2254"/>
      <c r="AC205" s="2252" t="s">
        <v>2586</v>
      </c>
      <c r="AD205" s="2253"/>
      <c r="AE205" s="2253"/>
      <c r="AF205" s="2254"/>
      <c r="AG205" s="2258" t="s">
        <v>2585</v>
      </c>
      <c r="AH205" s="2259"/>
      <c r="AI205" s="2259"/>
      <c r="AJ205" s="2259"/>
      <c r="AK205" s="2260"/>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3"/>
      <c r="D206" s="2262"/>
      <c r="E206" s="2262"/>
      <c r="F206" s="2304"/>
      <c r="G206" s="2261"/>
      <c r="H206" s="2262"/>
      <c r="I206" s="2262"/>
      <c r="J206" s="2262"/>
      <c r="K206" s="2262"/>
      <c r="L206" s="2262"/>
      <c r="M206" s="2262"/>
      <c r="N206" s="2262"/>
      <c r="O206" s="2304"/>
      <c r="P206" s="2308"/>
      <c r="Q206" s="2309"/>
      <c r="R206" s="2309"/>
      <c r="S206" s="2309"/>
      <c r="T206" s="2310"/>
      <c r="U206" s="2255"/>
      <c r="V206" s="2256"/>
      <c r="W206" s="2256"/>
      <c r="X206" s="2257"/>
      <c r="Y206" s="2255"/>
      <c r="Z206" s="2256"/>
      <c r="AA206" s="2256"/>
      <c r="AB206" s="2257"/>
      <c r="AC206" s="2255"/>
      <c r="AD206" s="2256"/>
      <c r="AE206" s="2256"/>
      <c r="AF206" s="2257"/>
      <c r="AG206" s="2261"/>
      <c r="AH206" s="2262"/>
      <c r="AI206" s="2262"/>
      <c r="AJ206" s="2262"/>
      <c r="AK206" s="2263"/>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4">
        <v>1</v>
      </c>
      <c r="D207" s="2265"/>
      <c r="E207" s="2265"/>
      <c r="F207" s="2265"/>
      <c r="G207" s="2266" t="s">
        <v>2151</v>
      </c>
      <c r="H207" s="2266"/>
      <c r="I207" s="2266"/>
      <c r="J207" s="2266"/>
      <c r="K207" s="2266"/>
      <c r="L207" s="2266"/>
      <c r="M207" s="2266"/>
      <c r="N207" s="2266"/>
      <c r="O207" s="2266"/>
      <c r="P207" s="2267"/>
      <c r="Q207" s="2268"/>
      <c r="R207" s="2268"/>
      <c r="S207" s="2268"/>
      <c r="T207" s="2268"/>
      <c r="U207" s="2269" t="s">
        <v>2151</v>
      </c>
      <c r="V207" s="2269"/>
      <c r="W207" s="2269"/>
      <c r="X207" s="2269"/>
      <c r="Y207" s="2269" t="s">
        <v>2151</v>
      </c>
      <c r="Z207" s="2269"/>
      <c r="AA207" s="2269"/>
      <c r="AB207" s="2269"/>
      <c r="AC207" s="2270" t="s">
        <v>2151</v>
      </c>
      <c r="AD207" s="2270"/>
      <c r="AE207" s="2270"/>
      <c r="AF207" s="2270"/>
      <c r="AG207" s="2249"/>
      <c r="AH207" s="2250"/>
      <c r="AI207" s="2250"/>
      <c r="AJ207" s="2250"/>
      <c r="AK207" s="2251"/>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4">
        <v>2</v>
      </c>
      <c r="D208" s="2265"/>
      <c r="E208" s="2265"/>
      <c r="F208" s="2265"/>
      <c r="G208" s="2266" t="s">
        <v>2151</v>
      </c>
      <c r="H208" s="2266"/>
      <c r="I208" s="2266"/>
      <c r="J208" s="2266"/>
      <c r="K208" s="2266"/>
      <c r="L208" s="2266"/>
      <c r="M208" s="2266"/>
      <c r="N208" s="2266"/>
      <c r="O208" s="2266"/>
      <c r="P208" s="2267"/>
      <c r="Q208" s="2267"/>
      <c r="R208" s="2267"/>
      <c r="S208" s="2267"/>
      <c r="T208" s="2267"/>
      <c r="U208" s="2269" t="s">
        <v>2151</v>
      </c>
      <c r="V208" s="2269"/>
      <c r="W208" s="2269"/>
      <c r="X208" s="2269"/>
      <c r="Y208" s="2269" t="s">
        <v>2151</v>
      </c>
      <c r="Z208" s="2269"/>
      <c r="AA208" s="2269"/>
      <c r="AB208" s="2269"/>
      <c r="AC208" s="2270" t="s">
        <v>2151</v>
      </c>
      <c r="AD208" s="2270"/>
      <c r="AE208" s="2270"/>
      <c r="AF208" s="2270"/>
      <c r="AG208" s="2249"/>
      <c r="AH208" s="2250"/>
      <c r="AI208" s="2250"/>
      <c r="AJ208" s="2250"/>
      <c r="AK208" s="2251"/>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4">
        <v>3</v>
      </c>
      <c r="D209" s="2265"/>
      <c r="E209" s="2265"/>
      <c r="F209" s="2265"/>
      <c r="G209" s="2266" t="s">
        <v>2151</v>
      </c>
      <c r="H209" s="2266"/>
      <c r="I209" s="2266"/>
      <c r="J209" s="2266"/>
      <c r="K209" s="2266"/>
      <c r="L209" s="2266"/>
      <c r="M209" s="2266"/>
      <c r="N209" s="2266"/>
      <c r="O209" s="2266"/>
      <c r="P209" s="2267"/>
      <c r="Q209" s="2267"/>
      <c r="R209" s="2267"/>
      <c r="S209" s="2267"/>
      <c r="T209" s="2267"/>
      <c r="U209" s="2269" t="s">
        <v>2151</v>
      </c>
      <c r="V209" s="2269"/>
      <c r="W209" s="2269"/>
      <c r="X209" s="2269"/>
      <c r="Y209" s="2269" t="s">
        <v>2151</v>
      </c>
      <c r="Z209" s="2269"/>
      <c r="AA209" s="2269"/>
      <c r="AB209" s="2269"/>
      <c r="AC209" s="2270" t="s">
        <v>2151</v>
      </c>
      <c r="AD209" s="2270"/>
      <c r="AE209" s="2270"/>
      <c r="AF209" s="2270"/>
      <c r="AG209" s="2249"/>
      <c r="AH209" s="2250"/>
      <c r="AI209" s="2250"/>
      <c r="AJ209" s="2250"/>
      <c r="AK209" s="2251"/>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4">
        <v>4</v>
      </c>
      <c r="D210" s="2265"/>
      <c r="E210" s="2265"/>
      <c r="F210" s="2265"/>
      <c r="G210" s="2266" t="s">
        <v>2151</v>
      </c>
      <c r="H210" s="2266"/>
      <c r="I210" s="2266"/>
      <c r="J210" s="2266"/>
      <c r="K210" s="2266"/>
      <c r="L210" s="2266"/>
      <c r="M210" s="2266"/>
      <c r="N210" s="2266"/>
      <c r="O210" s="2266"/>
      <c r="P210" s="2267"/>
      <c r="Q210" s="2267"/>
      <c r="R210" s="2267"/>
      <c r="S210" s="2267"/>
      <c r="T210" s="2267"/>
      <c r="U210" s="2269" t="s">
        <v>2151</v>
      </c>
      <c r="V210" s="2269"/>
      <c r="W210" s="2269"/>
      <c r="X210" s="2269"/>
      <c r="Y210" s="2269" t="s">
        <v>2151</v>
      </c>
      <c r="Z210" s="2269"/>
      <c r="AA210" s="2269"/>
      <c r="AB210" s="2269"/>
      <c r="AC210" s="2270" t="s">
        <v>2151</v>
      </c>
      <c r="AD210" s="2270"/>
      <c r="AE210" s="2270"/>
      <c r="AF210" s="2270"/>
      <c r="AG210" s="2249"/>
      <c r="AH210" s="2250"/>
      <c r="AI210" s="2250"/>
      <c r="AJ210" s="2250"/>
      <c r="AK210" s="2251"/>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4">
        <v>5</v>
      </c>
      <c r="D211" s="2265"/>
      <c r="E211" s="2265"/>
      <c r="F211" s="2265"/>
      <c r="G211" s="2266"/>
      <c r="H211" s="2266"/>
      <c r="I211" s="2266"/>
      <c r="J211" s="2266"/>
      <c r="K211" s="2266"/>
      <c r="L211" s="2266"/>
      <c r="M211" s="2266"/>
      <c r="N211" s="2266"/>
      <c r="O211" s="2266"/>
      <c r="P211" s="2267"/>
      <c r="Q211" s="2267"/>
      <c r="R211" s="2267"/>
      <c r="S211" s="2267"/>
      <c r="T211" s="2267"/>
      <c r="U211" s="2269" t="s">
        <v>2151</v>
      </c>
      <c r="V211" s="2269"/>
      <c r="W211" s="2269"/>
      <c r="X211" s="2269"/>
      <c r="Y211" s="2269" t="s">
        <v>2151</v>
      </c>
      <c r="Z211" s="2269"/>
      <c r="AA211" s="2269"/>
      <c r="AB211" s="2269"/>
      <c r="AC211" s="2270" t="s">
        <v>2151</v>
      </c>
      <c r="AD211" s="2270"/>
      <c r="AE211" s="2270"/>
      <c r="AF211" s="2270"/>
      <c r="AG211" s="2249"/>
      <c r="AH211" s="2250"/>
      <c r="AI211" s="2250"/>
      <c r="AJ211" s="2250"/>
      <c r="AK211" s="2251"/>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4">
        <v>6</v>
      </c>
      <c r="D212" s="2265"/>
      <c r="E212" s="2265"/>
      <c r="F212" s="2265"/>
      <c r="G212" s="2266" t="s">
        <v>2151</v>
      </c>
      <c r="H212" s="2266"/>
      <c r="I212" s="2266"/>
      <c r="J212" s="2266"/>
      <c r="K212" s="2266"/>
      <c r="L212" s="2266"/>
      <c r="M212" s="2266"/>
      <c r="N212" s="2266"/>
      <c r="O212" s="2266"/>
      <c r="P212" s="2267"/>
      <c r="Q212" s="2267"/>
      <c r="R212" s="2267"/>
      <c r="S212" s="2267"/>
      <c r="T212" s="2267"/>
      <c r="U212" s="2269"/>
      <c r="V212" s="2269"/>
      <c r="W212" s="2269"/>
      <c r="X212" s="2269"/>
      <c r="Y212" s="2269"/>
      <c r="Z212" s="2269"/>
      <c r="AA212" s="2269"/>
      <c r="AB212" s="2269"/>
      <c r="AC212" s="2270" t="s">
        <v>2151</v>
      </c>
      <c r="AD212" s="2270"/>
      <c r="AE212" s="2270"/>
      <c r="AF212" s="2270"/>
      <c r="AG212" s="2249"/>
      <c r="AH212" s="2250"/>
      <c r="AI212" s="2250"/>
      <c r="AJ212" s="2250"/>
      <c r="AK212" s="2251"/>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4">
        <v>7</v>
      </c>
      <c r="D213" s="2265"/>
      <c r="E213" s="2265"/>
      <c r="F213" s="2265"/>
      <c r="G213" s="2600"/>
      <c r="H213" s="2601"/>
      <c r="I213" s="2601"/>
      <c r="J213" s="2601"/>
      <c r="K213" s="2601"/>
      <c r="L213" s="2601"/>
      <c r="M213" s="2601"/>
      <c r="N213" s="2601"/>
      <c r="O213" s="2602"/>
      <c r="P213" s="2267"/>
      <c r="Q213" s="2267"/>
      <c r="R213" s="2267"/>
      <c r="S213" s="2267"/>
      <c r="T213" s="2267"/>
      <c r="U213" s="2269"/>
      <c r="V213" s="2269"/>
      <c r="W213" s="2269"/>
      <c r="X213" s="2269"/>
      <c r="Y213" s="2269"/>
      <c r="Z213" s="2269"/>
      <c r="AA213" s="2269"/>
      <c r="AB213" s="2269"/>
      <c r="AC213" s="2270" t="s">
        <v>2151</v>
      </c>
      <c r="AD213" s="2270"/>
      <c r="AE213" s="2270"/>
      <c r="AF213" s="2270"/>
      <c r="AG213" s="2249"/>
      <c r="AH213" s="2250"/>
      <c r="AI213" s="2250"/>
      <c r="AJ213" s="2250"/>
      <c r="AK213" s="2251"/>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3" t="s">
        <v>2584</v>
      </c>
      <c r="D214" s="2604"/>
      <c r="E214" s="2604"/>
      <c r="F214" s="2604"/>
      <c r="G214" s="2604"/>
      <c r="H214" s="2604"/>
      <c r="I214" s="2604"/>
      <c r="J214" s="2604"/>
      <c r="K214" s="2604"/>
      <c r="L214" s="2604"/>
      <c r="M214" s="2604"/>
      <c r="N214" s="2604"/>
      <c r="O214" s="2604"/>
      <c r="P214" s="2605"/>
      <c r="Q214" s="2605"/>
      <c r="R214" s="2605"/>
      <c r="S214" s="2605"/>
      <c r="T214" s="2605"/>
      <c r="U214" s="2606">
        <v>0</v>
      </c>
      <c r="V214" s="2606"/>
      <c r="W214" s="2606"/>
      <c r="X214" s="2606"/>
      <c r="Y214" s="2606">
        <v>0</v>
      </c>
      <c r="Z214" s="2606"/>
      <c r="AA214" s="2606"/>
      <c r="AB214" s="2606"/>
      <c r="AC214" s="2607">
        <v>0</v>
      </c>
      <c r="AD214" s="2607"/>
      <c r="AE214" s="2607"/>
      <c r="AF214" s="2607"/>
      <c r="AG214" s="2246"/>
      <c r="AH214" s="2247"/>
      <c r="AI214" s="2247"/>
      <c r="AJ214" s="2247"/>
      <c r="AK214" s="2248"/>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2583</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4" t="s">
        <v>1851</v>
      </c>
      <c r="C219" s="2275"/>
      <c r="D219" s="2275"/>
      <c r="E219" s="2275"/>
      <c r="F219" s="2275"/>
      <c r="G219" s="2275"/>
      <c r="H219" s="2275"/>
      <c r="I219" s="2275"/>
      <c r="J219" s="2275"/>
      <c r="K219" s="2275"/>
      <c r="L219" s="2275"/>
      <c r="M219" s="2275"/>
      <c r="N219" s="2275"/>
      <c r="O219" s="2275"/>
      <c r="P219" s="2275"/>
      <c r="Q219" s="2275"/>
      <c r="R219" s="2275"/>
      <c r="S219" s="2275"/>
      <c r="T219" s="2275"/>
      <c r="U219" s="2275"/>
      <c r="V219" s="2275"/>
      <c r="W219" s="2275"/>
      <c r="X219" s="2275"/>
      <c r="Y219" s="2275"/>
      <c r="Z219" s="2275"/>
      <c r="AA219" s="2275"/>
      <c r="AB219" s="2275"/>
      <c r="AC219" s="2275"/>
      <c r="AD219" s="2275"/>
      <c r="AE219" s="2275"/>
      <c r="AF219" s="2275"/>
      <c r="AG219" s="2275"/>
      <c r="AH219" s="2275"/>
      <c r="AI219" s="2275"/>
      <c r="AJ219" s="2275"/>
      <c r="AK219" s="2275"/>
      <c r="AL219" s="2275"/>
      <c r="AM219" s="2275"/>
      <c r="AN219" s="2275"/>
      <c r="AO219" s="2275"/>
      <c r="AP219" s="2275"/>
      <c r="AQ219" s="2275"/>
      <c r="AR219" s="2275"/>
      <c r="AS219" s="2275"/>
      <c r="AT219" s="2275"/>
      <c r="AU219" s="2275"/>
      <c r="AV219" s="2275"/>
      <c r="AW219" s="2275"/>
      <c r="AX219" s="2275"/>
      <c r="AY219" s="2275"/>
      <c r="AZ219" s="2275"/>
      <c r="BA219" s="2275"/>
      <c r="BB219" s="2275"/>
      <c r="BC219" s="2275"/>
      <c r="BD219" s="2276"/>
      <c r="BE219" s="1205"/>
    </row>
    <row r="220" spans="1:57" ht="15.75" customHeight="1">
      <c r="A220" s="1209"/>
      <c r="B220" s="2277"/>
      <c r="C220" s="2278"/>
      <c r="D220" s="2278"/>
      <c r="E220" s="2278"/>
      <c r="F220" s="2278"/>
      <c r="G220" s="2278"/>
      <c r="H220" s="2278"/>
      <c r="I220" s="2278"/>
      <c r="J220" s="2278"/>
      <c r="K220" s="2278"/>
      <c r="L220" s="2278"/>
      <c r="M220" s="2278"/>
      <c r="N220" s="2278"/>
      <c r="O220" s="2278"/>
      <c r="P220" s="2278"/>
      <c r="Q220" s="2278"/>
      <c r="R220" s="2278"/>
      <c r="S220" s="2278"/>
      <c r="T220" s="2278"/>
      <c r="U220" s="2278"/>
      <c r="V220" s="2278"/>
      <c r="W220" s="2278"/>
      <c r="X220" s="2278"/>
      <c r="Y220" s="2278"/>
      <c r="Z220" s="2278"/>
      <c r="AA220" s="2278"/>
      <c r="AB220" s="2278"/>
      <c r="AC220" s="2278"/>
      <c r="AD220" s="2278"/>
      <c r="AE220" s="2278"/>
      <c r="AF220" s="2278"/>
      <c r="AG220" s="2278"/>
      <c r="AH220" s="2278"/>
      <c r="AI220" s="2278"/>
      <c r="AJ220" s="2278"/>
      <c r="AK220" s="2278"/>
      <c r="AL220" s="2278"/>
      <c r="AM220" s="2278"/>
      <c r="AN220" s="2278"/>
      <c r="AO220" s="2278"/>
      <c r="AP220" s="2278"/>
      <c r="AQ220" s="2278"/>
      <c r="AR220" s="2278"/>
      <c r="AS220" s="2278"/>
      <c r="AT220" s="2278"/>
      <c r="AU220" s="2278"/>
      <c r="AV220" s="2278"/>
      <c r="AW220" s="2278"/>
      <c r="AX220" s="2278"/>
      <c r="AY220" s="2278"/>
      <c r="AZ220" s="2278"/>
      <c r="BA220" s="2278"/>
      <c r="BB220" s="2278"/>
      <c r="BC220" s="2278"/>
      <c r="BD220" s="2279"/>
      <c r="BE220" s="1205"/>
    </row>
    <row r="221" spans="1:57" ht="15.75" customHeight="1">
      <c r="A221" s="1209"/>
      <c r="B221" s="2280" t="s">
        <v>1852</v>
      </c>
      <c r="C221" s="2281"/>
      <c r="D221" s="2281"/>
      <c r="E221" s="2281"/>
      <c r="F221" s="2281"/>
      <c r="G221" s="2281"/>
      <c r="H221" s="2281"/>
      <c r="I221" s="2281"/>
      <c r="J221" s="2281"/>
      <c r="K221" s="2281"/>
      <c r="L221" s="2281"/>
      <c r="M221" s="2281"/>
      <c r="N221" s="2281"/>
      <c r="O221" s="2281"/>
      <c r="P221" s="2281"/>
      <c r="Q221" s="2281"/>
      <c r="R221" s="2281"/>
      <c r="S221" s="2281"/>
      <c r="T221" s="2281"/>
      <c r="U221" s="2281"/>
      <c r="V221" s="2281"/>
      <c r="W221" s="2281"/>
      <c r="X221" s="2281"/>
      <c r="Y221" s="2281"/>
      <c r="Z221" s="2281"/>
      <c r="AA221" s="2281"/>
      <c r="AB221" s="2281"/>
      <c r="AC221" s="2281"/>
      <c r="AD221" s="2281"/>
      <c r="AE221" s="2281"/>
      <c r="AF221" s="2281"/>
      <c r="AG221" s="2281"/>
      <c r="AH221" s="2281"/>
      <c r="AI221" s="2281"/>
      <c r="AJ221" s="2281"/>
      <c r="AK221" s="2281"/>
      <c r="AL221" s="2281"/>
      <c r="AM221" s="2281"/>
      <c r="AN221" s="2281"/>
      <c r="AO221" s="2281"/>
      <c r="AP221" s="2281"/>
      <c r="AQ221" s="2281"/>
      <c r="AR221" s="2281"/>
      <c r="AS221" s="2281"/>
      <c r="AT221" s="2281"/>
      <c r="AU221" s="2281"/>
      <c r="AV221" s="2281"/>
      <c r="AW221" s="2281"/>
      <c r="AX221" s="2281"/>
      <c r="AY221" s="2281"/>
      <c r="AZ221" s="2281"/>
      <c r="BA221" s="2281"/>
      <c r="BB221" s="2281"/>
      <c r="BC221" s="2281"/>
      <c r="BD221" s="2282"/>
      <c r="BE221" s="1205"/>
    </row>
    <row r="222" spans="1:57" ht="15.75" customHeight="1">
      <c r="A222" s="1209"/>
      <c r="B222" s="2280" t="s">
        <v>1853</v>
      </c>
      <c r="C222" s="2281"/>
      <c r="D222" s="2281"/>
      <c r="E222" s="2281"/>
      <c r="F222" s="2281"/>
      <c r="G222" s="2281"/>
      <c r="H222" s="2281"/>
      <c r="I222" s="2281"/>
      <c r="J222" s="2281"/>
      <c r="K222" s="2281"/>
      <c r="L222" s="2281"/>
      <c r="M222" s="2281"/>
      <c r="N222" s="2281"/>
      <c r="O222" s="2281"/>
      <c r="P222" s="2281"/>
      <c r="Q222" s="2281"/>
      <c r="R222" s="2281"/>
      <c r="S222" s="2281"/>
      <c r="T222" s="2281"/>
      <c r="U222" s="2281"/>
      <c r="V222" s="2281"/>
      <c r="W222" s="2281"/>
      <c r="X222" s="2281"/>
      <c r="Y222" s="2281"/>
      <c r="Z222" s="2281"/>
      <c r="AA222" s="2281"/>
      <c r="AB222" s="2281"/>
      <c r="AC222" s="2281"/>
      <c r="AD222" s="2281"/>
      <c r="AE222" s="2281"/>
      <c r="AF222" s="2281"/>
      <c r="AG222" s="2281"/>
      <c r="AH222" s="2281"/>
      <c r="AI222" s="2281"/>
      <c r="AJ222" s="2281"/>
      <c r="AK222" s="2281"/>
      <c r="AL222" s="2281"/>
      <c r="AM222" s="2281"/>
      <c r="AN222" s="2281"/>
      <c r="AO222" s="2281"/>
      <c r="AP222" s="2281"/>
      <c r="AQ222" s="2281"/>
      <c r="AR222" s="2281"/>
      <c r="AS222" s="2281"/>
      <c r="AT222" s="2281"/>
      <c r="AU222" s="2281"/>
      <c r="AV222" s="2281"/>
      <c r="AW222" s="2281"/>
      <c r="AX222" s="2281"/>
      <c r="AY222" s="2281"/>
      <c r="AZ222" s="2281"/>
      <c r="BA222" s="2281"/>
      <c r="BB222" s="2281"/>
      <c r="BC222" s="2281"/>
      <c r="BD222" s="2282"/>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3" t="s">
        <v>1854</v>
      </c>
      <c r="C224" s="2284"/>
      <c r="D224" s="2284"/>
      <c r="E224" s="2284"/>
      <c r="F224" s="2284"/>
      <c r="G224" s="2284"/>
      <c r="H224" s="2284"/>
      <c r="I224" s="2284"/>
      <c r="J224" s="2284"/>
      <c r="K224" s="2284"/>
      <c r="L224" s="2284"/>
      <c r="M224" s="2284"/>
      <c r="N224" s="2284"/>
      <c r="O224" s="2284"/>
      <c r="P224" s="2284"/>
      <c r="Q224" s="2284"/>
      <c r="R224" s="2284"/>
      <c r="S224" s="2284"/>
      <c r="T224" s="2284"/>
      <c r="U224" s="2284"/>
      <c r="V224" s="2284"/>
      <c r="W224" s="2284"/>
      <c r="X224" s="2284"/>
      <c r="Y224" s="2284"/>
      <c r="Z224" s="2284"/>
      <c r="AA224" s="2284"/>
      <c r="AB224" s="2284"/>
      <c r="AC224" s="2284"/>
      <c r="AD224" s="2284"/>
      <c r="AE224" s="2284"/>
      <c r="AF224" s="2284"/>
      <c r="AG224" s="2284"/>
      <c r="AH224" s="2284"/>
      <c r="AI224" s="2284"/>
      <c r="AJ224" s="2284"/>
      <c r="AK224" s="2284"/>
      <c r="AL224" s="2284"/>
      <c r="AM224" s="2284"/>
      <c r="AN224" s="2284"/>
      <c r="AO224" s="2284"/>
      <c r="AP224" s="2284"/>
      <c r="AQ224" s="2284"/>
      <c r="AR224" s="2284"/>
      <c r="AS224" s="2284"/>
      <c r="AT224" s="2284"/>
      <c r="AU224" s="2284"/>
      <c r="AV224" s="2284"/>
      <c r="AW224" s="2284"/>
      <c r="AX224" s="2284"/>
      <c r="AY224" s="2284"/>
      <c r="AZ224" s="2284"/>
      <c r="BA224" s="2284"/>
      <c r="BB224" s="2284"/>
      <c r="BC224" s="2284"/>
      <c r="BD224" s="2285"/>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1855</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7" t="s">
        <v>1856</v>
      </c>
      <c r="I228" s="2297"/>
      <c r="J228" s="2297"/>
      <c r="K228" s="2297"/>
      <c r="L228" s="2297"/>
      <c r="M228" s="2297"/>
      <c r="N228" s="2297"/>
      <c r="O228" s="2297"/>
      <c r="P228" s="2297"/>
      <c r="Q228" s="2297"/>
      <c r="R228" s="2297"/>
      <c r="S228" s="2297"/>
      <c r="T228" s="2297"/>
      <c r="U228" s="2297"/>
      <c r="V228" s="2297"/>
      <c r="W228" s="2297"/>
      <c r="X228" s="2297"/>
      <c r="Y228" s="2297"/>
      <c r="Z228" s="2297"/>
      <c r="AA228" s="2297"/>
      <c r="AB228" s="2297"/>
      <c r="AC228" s="2297"/>
      <c r="AD228" s="2297"/>
      <c r="AE228" s="2297"/>
      <c r="AF228" s="2297"/>
      <c r="AG228" s="2297"/>
      <c r="AH228" s="2297"/>
      <c r="AI228" s="2297"/>
      <c r="AJ228" s="2297"/>
      <c r="AK228" s="2297"/>
      <c r="AL228" s="2297"/>
      <c r="AM228" s="2297"/>
      <c r="AN228" s="2297"/>
      <c r="AO228" s="2297"/>
      <c r="AP228" s="2297"/>
      <c r="AQ228" s="2297"/>
      <c r="AR228" s="2297"/>
      <c r="AS228" s="2297"/>
      <c r="AT228" s="2297"/>
      <c r="AU228" s="2297"/>
      <c r="AV228" s="2297"/>
      <c r="AW228" s="2297"/>
      <c r="AX228" s="2297"/>
      <c r="AY228" s="2297"/>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6" t="s">
        <v>2495</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6"/>
      <c r="AD230" s="2296"/>
      <c r="AE230" s="2296"/>
      <c r="AF230" s="2296"/>
      <c r="AG230" s="2296"/>
      <c r="AH230" s="2296"/>
      <c r="AI230" s="2296"/>
      <c r="AJ230" s="2296"/>
      <c r="AK230" s="2296"/>
      <c r="AL230" s="2296"/>
      <c r="AM230" s="2296"/>
      <c r="AN230" s="2296"/>
      <c r="AO230" s="2296"/>
      <c r="AP230" s="2296"/>
      <c r="AQ230" s="2296"/>
      <c r="AR230" s="2296"/>
      <c r="AS230" s="2296"/>
      <c r="AT230" s="2296"/>
      <c r="AU230" s="2296"/>
      <c r="AV230" s="2296"/>
      <c r="AW230" s="2296"/>
      <c r="AX230" s="2296"/>
      <c r="AY230" s="2296"/>
      <c r="AZ230" s="2296"/>
      <c r="BA230" s="1209"/>
      <c r="BB230" s="1209"/>
      <c r="BC230" s="1209"/>
      <c r="BD230" s="1205"/>
      <c r="BE230" s="1205"/>
    </row>
    <row r="231" spans="1:57" ht="15.75" customHeight="1">
      <c r="A231" s="1209"/>
      <c r="B231" s="1215"/>
      <c r="C231" s="1209"/>
      <c r="D231" s="1209"/>
      <c r="E231" s="1209"/>
      <c r="F231" s="1209"/>
      <c r="G231" s="1209"/>
      <c r="H231" s="2296"/>
      <c r="I231" s="2296"/>
      <c r="J231" s="2296"/>
      <c r="K231" s="2296"/>
      <c r="L231" s="2296"/>
      <c r="M231" s="2296"/>
      <c r="N231" s="2296"/>
      <c r="O231" s="2296"/>
      <c r="P231" s="2296"/>
      <c r="Q231" s="2296"/>
      <c r="R231" s="2296"/>
      <c r="S231" s="2296"/>
      <c r="T231" s="2296"/>
      <c r="U231" s="2296"/>
      <c r="V231" s="2296"/>
      <c r="W231" s="2296"/>
      <c r="X231" s="2296"/>
      <c r="Y231" s="2296"/>
      <c r="Z231" s="2296"/>
      <c r="AA231" s="2296"/>
      <c r="AB231" s="2296"/>
      <c r="AC231" s="2296"/>
      <c r="AD231" s="2296"/>
      <c r="AE231" s="2296"/>
      <c r="AF231" s="2296"/>
      <c r="AG231" s="2296"/>
      <c r="AH231" s="2296"/>
      <c r="AI231" s="2296"/>
      <c r="AJ231" s="2296"/>
      <c r="AK231" s="2296"/>
      <c r="AL231" s="2296"/>
      <c r="AM231" s="2296"/>
      <c r="AN231" s="2296"/>
      <c r="AO231" s="2296"/>
      <c r="AP231" s="2296"/>
      <c r="AQ231" s="2296"/>
      <c r="AR231" s="2296"/>
      <c r="AS231" s="2296"/>
      <c r="AT231" s="2296"/>
      <c r="AU231" s="2296"/>
      <c r="AV231" s="2296"/>
      <c r="AW231" s="2296"/>
      <c r="AX231" s="2296"/>
      <c r="AY231" s="2296"/>
      <c r="AZ231" s="2296"/>
      <c r="BA231" s="1209"/>
      <c r="BB231" s="1209"/>
      <c r="BC231" s="1209"/>
      <c r="BD231" s="1205"/>
      <c r="BE231" s="1205"/>
    </row>
    <row r="232" spans="1:57" ht="15.75" customHeight="1">
      <c r="A232" s="1209"/>
      <c r="B232" s="1215"/>
      <c r="C232" s="1209"/>
      <c r="D232" s="1209"/>
      <c r="E232" s="1209"/>
      <c r="F232" s="1209"/>
      <c r="G232" s="1209"/>
      <c r="H232" s="2296"/>
      <c r="I232" s="2296"/>
      <c r="J232" s="2296"/>
      <c r="K232" s="2296"/>
      <c r="L232" s="2296"/>
      <c r="M232" s="2296"/>
      <c r="N232" s="2296"/>
      <c r="O232" s="2296"/>
      <c r="P232" s="2296"/>
      <c r="Q232" s="2296"/>
      <c r="R232" s="2296"/>
      <c r="S232" s="2296"/>
      <c r="T232" s="2296"/>
      <c r="U232" s="2296"/>
      <c r="V232" s="2296"/>
      <c r="W232" s="2296"/>
      <c r="X232" s="2296"/>
      <c r="Y232" s="2296"/>
      <c r="Z232" s="2296"/>
      <c r="AA232" s="2296"/>
      <c r="AB232" s="2296"/>
      <c r="AC232" s="2296"/>
      <c r="AD232" s="2296"/>
      <c r="AE232" s="2296"/>
      <c r="AF232" s="2296"/>
      <c r="AG232" s="2296"/>
      <c r="AH232" s="2296"/>
      <c r="AI232" s="2296"/>
      <c r="AJ232" s="2296"/>
      <c r="AK232" s="2296"/>
      <c r="AL232" s="2296"/>
      <c r="AM232" s="2296"/>
      <c r="AN232" s="2296"/>
      <c r="AO232" s="2296"/>
      <c r="AP232" s="2296"/>
      <c r="AQ232" s="2296"/>
      <c r="AR232" s="2296"/>
      <c r="AS232" s="2296"/>
      <c r="AT232" s="2296"/>
      <c r="AU232" s="2296"/>
      <c r="AV232" s="2296"/>
      <c r="AW232" s="2296"/>
      <c r="AX232" s="2296"/>
      <c r="AY232" s="2296"/>
      <c r="AZ232" s="2296"/>
      <c r="BA232" s="1209"/>
      <c r="BB232" s="1209"/>
      <c r="BC232" s="1209"/>
      <c r="BD232" s="1205"/>
      <c r="BE232" s="1205"/>
    </row>
    <row r="233" spans="1:57" ht="15.75" customHeight="1">
      <c r="A233" s="1209"/>
      <c r="B233" s="1215"/>
      <c r="C233" s="1209"/>
      <c r="D233" s="1209"/>
      <c r="E233" s="1209"/>
      <c r="F233" s="1209"/>
      <c r="G233" s="1209"/>
      <c r="H233" s="2296"/>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6"/>
      <c r="AD233" s="2296"/>
      <c r="AE233" s="2296"/>
      <c r="AF233" s="2296"/>
      <c r="AG233" s="2296"/>
      <c r="AH233" s="2296"/>
      <c r="AI233" s="2296"/>
      <c r="AJ233" s="2296"/>
      <c r="AK233" s="2296"/>
      <c r="AL233" s="2296"/>
      <c r="AM233" s="2296"/>
      <c r="AN233" s="2296"/>
      <c r="AO233" s="2296"/>
      <c r="AP233" s="2296"/>
      <c r="AQ233" s="2296"/>
      <c r="AR233" s="2296"/>
      <c r="AS233" s="2296"/>
      <c r="AT233" s="2296"/>
      <c r="AU233" s="2296"/>
      <c r="AV233" s="2296"/>
      <c r="AW233" s="2296"/>
      <c r="AX233" s="2296"/>
      <c r="AY233" s="2296"/>
      <c r="AZ233" s="2296"/>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5" t="s">
        <v>1857</v>
      </c>
      <c r="I235" s="2295"/>
      <c r="J235" s="2295"/>
      <c r="K235" s="2295"/>
      <c r="L235" s="2295"/>
      <c r="M235" s="2295"/>
      <c r="N235" s="2295"/>
      <c r="O235" s="2295"/>
      <c r="P235" s="2295"/>
      <c r="Q235" s="2295"/>
      <c r="R235" s="2295"/>
      <c r="S235" s="2295"/>
      <c r="T235" s="2295"/>
      <c r="U235" s="2295"/>
      <c r="V235" s="2295"/>
      <c r="W235" s="2295"/>
      <c r="X235" s="2295"/>
      <c r="Y235" s="2295"/>
      <c r="Z235" s="2295"/>
      <c r="AA235" s="2295"/>
      <c r="AB235" s="2295"/>
      <c r="AC235" s="2295"/>
      <c r="AD235" s="2295"/>
      <c r="AE235" s="2295"/>
      <c r="AF235" s="2295"/>
      <c r="AG235" s="2295"/>
      <c r="AH235" s="2295"/>
      <c r="AI235" s="2295"/>
      <c r="AJ235" s="2295"/>
      <c r="AK235" s="2295"/>
      <c r="AL235" s="2295"/>
      <c r="AM235" s="2295"/>
      <c r="AN235" s="2295"/>
      <c r="AO235" s="2295"/>
      <c r="AP235" s="2295"/>
      <c r="AQ235" s="2295"/>
      <c r="AR235" s="2295"/>
      <c r="AS235" s="2295"/>
      <c r="AT235" s="2295"/>
      <c r="AU235" s="2295"/>
      <c r="AV235" s="2295"/>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1" t="s">
        <v>1858</v>
      </c>
      <c r="I237" s="2271"/>
      <c r="J237" s="2271"/>
      <c r="K237" s="2271"/>
      <c r="L237" s="1211"/>
      <c r="M237" s="1211"/>
      <c r="N237" s="1211"/>
      <c r="O237" s="1211"/>
      <c r="P237" s="1211"/>
      <c r="Q237" s="1211"/>
      <c r="R237" s="1211"/>
      <c r="S237" s="2292"/>
      <c r="T237" s="2293"/>
      <c r="U237" s="2293"/>
      <c r="V237" s="2293"/>
      <c r="W237" s="2293"/>
      <c r="X237" s="2293"/>
      <c r="Y237" s="2293"/>
      <c r="Z237" s="2293"/>
      <c r="AA237" s="2293"/>
      <c r="AB237" s="2293"/>
      <c r="AC237" s="2293"/>
      <c r="AD237" s="2293"/>
      <c r="AE237" s="2293"/>
      <c r="AF237" s="2293"/>
      <c r="AG237" s="2293"/>
      <c r="AH237" s="2293"/>
      <c r="AI237" s="2293"/>
      <c r="AJ237" s="2294"/>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1" t="s">
        <v>1859</v>
      </c>
      <c r="I239" s="2271"/>
      <c r="J239" s="2271"/>
      <c r="K239" s="1213"/>
      <c r="L239" s="1211"/>
      <c r="M239" s="1211"/>
      <c r="N239" s="1211"/>
      <c r="O239" s="1211"/>
      <c r="P239" s="1211"/>
      <c r="Q239" s="1211"/>
      <c r="R239" s="1211"/>
      <c r="S239" s="2289"/>
      <c r="T239" s="2290"/>
      <c r="U239" s="2290"/>
      <c r="V239" s="2290"/>
      <c r="W239" s="2290"/>
      <c r="X239" s="2290"/>
      <c r="Y239" s="2290"/>
      <c r="Z239" s="2290"/>
      <c r="AA239" s="2290"/>
      <c r="AB239" s="2290"/>
      <c r="AC239" s="2290"/>
      <c r="AD239" s="2290"/>
      <c r="AE239" s="2290"/>
      <c r="AF239" s="2290"/>
      <c r="AG239" s="2290"/>
      <c r="AH239" s="2290"/>
      <c r="AI239" s="2290"/>
      <c r="AJ239" s="2291"/>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1" t="s">
        <v>443</v>
      </c>
      <c r="I241" s="2271"/>
      <c r="J241" s="1213"/>
      <c r="K241" s="1213"/>
      <c r="L241" s="1211"/>
      <c r="M241" s="1211"/>
      <c r="N241" s="1211"/>
      <c r="O241" s="1211"/>
      <c r="P241" s="1211"/>
      <c r="Q241" s="1211"/>
      <c r="R241" s="1211"/>
      <c r="S241" s="2289"/>
      <c r="T241" s="2290"/>
      <c r="U241" s="2290"/>
      <c r="V241" s="2290"/>
      <c r="W241" s="2290"/>
      <c r="X241" s="2290"/>
      <c r="Y241" s="2290"/>
      <c r="Z241" s="2290"/>
      <c r="AA241" s="2290"/>
      <c r="AB241" s="2290"/>
      <c r="AC241" s="2290"/>
      <c r="AD241" s="2290"/>
      <c r="AE241" s="2290"/>
      <c r="AF241" s="2290"/>
      <c r="AG241" s="2290"/>
      <c r="AH241" s="2290"/>
      <c r="AI241" s="2290"/>
      <c r="AJ241" s="2291"/>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2" t="s">
        <v>1860</v>
      </c>
      <c r="I243" s="2272"/>
      <c r="J243" s="2272"/>
      <c r="K243" s="2272"/>
      <c r="L243" s="2272"/>
      <c r="M243" s="2272"/>
      <c r="N243" s="2272"/>
      <c r="O243" s="2272"/>
      <c r="P243" s="1211"/>
      <c r="Q243" s="1211"/>
      <c r="R243" s="1211"/>
      <c r="S243" s="2289"/>
      <c r="T243" s="2290"/>
      <c r="U243" s="2290"/>
      <c r="V243" s="2290"/>
      <c r="W243" s="2290"/>
      <c r="X243" s="2290"/>
      <c r="Y243" s="2290"/>
      <c r="Z243" s="2290"/>
      <c r="AA243" s="2290"/>
      <c r="AB243" s="2290"/>
      <c r="AC243" s="2290"/>
      <c r="AD243" s="2290"/>
      <c r="AE243" s="2290"/>
      <c r="AF243" s="2290"/>
      <c r="AG243" s="2290"/>
      <c r="AH243" s="2290"/>
      <c r="AI243" s="2290"/>
      <c r="AJ243" s="2291"/>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3" t="s">
        <v>1861</v>
      </c>
      <c r="I245" s="2273"/>
      <c r="J245" s="1211"/>
      <c r="K245" s="1211"/>
      <c r="L245" s="1211"/>
      <c r="M245" s="1211"/>
      <c r="N245" s="1211"/>
      <c r="O245" s="1211"/>
      <c r="P245" s="1211"/>
      <c r="Q245" s="1211"/>
      <c r="R245" s="1211"/>
      <c r="S245" s="2286"/>
      <c r="T245" s="2287"/>
      <c r="U245" s="2287"/>
      <c r="V245" s="2287"/>
      <c r="W245" s="2287"/>
      <c r="X245" s="2287"/>
      <c r="Y245" s="2287"/>
      <c r="Z245" s="2287"/>
      <c r="AA245" s="2287"/>
      <c r="AB245" s="2287"/>
      <c r="AC245" s="2287"/>
      <c r="AD245" s="2287"/>
      <c r="AE245" s="2287"/>
      <c r="AF245" s="2287"/>
      <c r="AG245" s="2287"/>
      <c r="AH245" s="2287"/>
      <c r="AI245" s="2287"/>
      <c r="AJ245" s="2288"/>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9" workbookViewId="0">
      <selection activeCell="AB56" sqref="AB56:AF56"/>
    </sheetView>
  </sheetViews>
  <sheetFormatPr defaultColWidth="0" defaultRowHeight="12.9" customHeight="1"/>
  <cols>
    <col min="1" max="1" width="1.5546875" style="433" customWidth="1"/>
    <col min="2" max="2" width="0.88671875" style="433" customWidth="1"/>
    <col min="3" max="18" width="2.5546875" style="433" customWidth="1"/>
    <col min="19" max="19" width="6.33203125" style="433" customWidth="1"/>
    <col min="20" max="39" width="2.6640625" style="433" customWidth="1"/>
    <col min="40" max="40" width="1.5546875" style="433" customWidth="1"/>
    <col min="41" max="256" width="2.5546875" style="433" hidden="1"/>
    <col min="257" max="257" width="1.5546875" style="433" hidden="1" customWidth="1"/>
    <col min="258" max="258" width="0.88671875" style="433" hidden="1" customWidth="1"/>
    <col min="259" max="274" width="2.5546875" style="433" hidden="1" customWidth="1"/>
    <col min="275" max="275" width="4" style="433" hidden="1" customWidth="1"/>
    <col min="276" max="279" width="2.5546875" style="433" hidden="1" customWidth="1"/>
    <col min="280" max="280" width="2.44140625" style="433" hidden="1" customWidth="1"/>
    <col min="281" max="284" width="2.5546875" style="433" hidden="1" customWidth="1"/>
    <col min="285" max="285" width="2.44140625" style="433" hidden="1" customWidth="1"/>
    <col min="286" max="289" width="2.5546875" style="433" hidden="1" customWidth="1"/>
    <col min="290" max="295" width="2.44140625" style="433" hidden="1" customWidth="1"/>
    <col min="296" max="296" width="1.5546875" style="433" hidden="1" customWidth="1"/>
    <col min="297" max="512" width="2.5546875" style="433" hidden="1"/>
    <col min="513" max="513" width="1.5546875" style="433" hidden="1" customWidth="1"/>
    <col min="514" max="514" width="0.88671875" style="433" hidden="1" customWidth="1"/>
    <col min="515" max="530" width="2.5546875" style="433" hidden="1" customWidth="1"/>
    <col min="531" max="531" width="4" style="433" hidden="1" customWidth="1"/>
    <col min="532" max="535" width="2.5546875" style="433" hidden="1" customWidth="1"/>
    <col min="536" max="536" width="2.44140625" style="433" hidden="1" customWidth="1"/>
    <col min="537" max="540" width="2.5546875" style="433" hidden="1" customWidth="1"/>
    <col min="541" max="541" width="2.44140625" style="433" hidden="1" customWidth="1"/>
    <col min="542" max="545" width="2.5546875" style="433" hidden="1" customWidth="1"/>
    <col min="546" max="551" width="2.44140625" style="433" hidden="1" customWidth="1"/>
    <col min="552" max="552" width="1.5546875" style="433" hidden="1" customWidth="1"/>
    <col min="553" max="768" width="2.5546875" style="433" hidden="1"/>
    <col min="769" max="769" width="1.5546875" style="433" hidden="1" customWidth="1"/>
    <col min="770" max="770" width="0.88671875" style="433" hidden="1" customWidth="1"/>
    <col min="771" max="786" width="2.5546875" style="433" hidden="1" customWidth="1"/>
    <col min="787" max="787" width="4" style="433" hidden="1" customWidth="1"/>
    <col min="788" max="791" width="2.5546875" style="433" hidden="1" customWidth="1"/>
    <col min="792" max="792" width="2.44140625" style="433" hidden="1" customWidth="1"/>
    <col min="793" max="796" width="2.5546875" style="433" hidden="1" customWidth="1"/>
    <col min="797" max="797" width="2.44140625" style="433" hidden="1" customWidth="1"/>
    <col min="798" max="801" width="2.5546875" style="433" hidden="1" customWidth="1"/>
    <col min="802" max="807" width="2.44140625" style="433" hidden="1" customWidth="1"/>
    <col min="808" max="808" width="1.5546875" style="433" hidden="1" customWidth="1"/>
    <col min="809" max="1024" width="2.5546875" style="433" hidden="1"/>
    <col min="1025" max="1025" width="1.5546875" style="433" hidden="1" customWidth="1"/>
    <col min="1026" max="1026" width="0.88671875" style="433" hidden="1" customWidth="1"/>
    <col min="1027" max="1042" width="2.5546875" style="433" hidden="1" customWidth="1"/>
    <col min="1043" max="1043" width="4" style="433" hidden="1" customWidth="1"/>
    <col min="1044" max="1047" width="2.5546875" style="433" hidden="1" customWidth="1"/>
    <col min="1048" max="1048" width="2.44140625" style="433" hidden="1" customWidth="1"/>
    <col min="1049" max="1052" width="2.5546875" style="433" hidden="1" customWidth="1"/>
    <col min="1053" max="1053" width="2.44140625" style="433" hidden="1" customWidth="1"/>
    <col min="1054" max="1057" width="2.5546875" style="433" hidden="1" customWidth="1"/>
    <col min="1058" max="1063" width="2.44140625" style="433" hidden="1" customWidth="1"/>
    <col min="1064" max="1064" width="1.5546875" style="433" hidden="1" customWidth="1"/>
    <col min="1065" max="1280" width="2.5546875" style="433" hidden="1"/>
    <col min="1281" max="1281" width="1.5546875" style="433" hidden="1" customWidth="1"/>
    <col min="1282" max="1282" width="0.88671875" style="433" hidden="1" customWidth="1"/>
    <col min="1283" max="1298" width="2.5546875" style="433" hidden="1" customWidth="1"/>
    <col min="1299" max="1299" width="4" style="433" hidden="1" customWidth="1"/>
    <col min="1300" max="1303" width="2.5546875" style="433" hidden="1" customWidth="1"/>
    <col min="1304" max="1304" width="2.44140625" style="433" hidden="1" customWidth="1"/>
    <col min="1305" max="1308" width="2.5546875" style="433" hidden="1" customWidth="1"/>
    <col min="1309" max="1309" width="2.44140625" style="433" hidden="1" customWidth="1"/>
    <col min="1310" max="1313" width="2.5546875" style="433" hidden="1" customWidth="1"/>
    <col min="1314" max="1319" width="2.44140625" style="433" hidden="1" customWidth="1"/>
    <col min="1320" max="1320" width="1.5546875" style="433" hidden="1" customWidth="1"/>
    <col min="1321" max="1536" width="2.5546875" style="433" hidden="1"/>
    <col min="1537" max="1537" width="1.5546875" style="433" hidden="1" customWidth="1"/>
    <col min="1538" max="1538" width="0.88671875" style="433" hidden="1" customWidth="1"/>
    <col min="1539" max="1554" width="2.5546875" style="433" hidden="1" customWidth="1"/>
    <col min="1555" max="1555" width="4" style="433" hidden="1" customWidth="1"/>
    <col min="1556" max="1559" width="2.5546875" style="433" hidden="1" customWidth="1"/>
    <col min="1560" max="1560" width="2.44140625" style="433" hidden="1" customWidth="1"/>
    <col min="1561" max="1564" width="2.5546875" style="433" hidden="1" customWidth="1"/>
    <col min="1565" max="1565" width="2.44140625" style="433" hidden="1" customWidth="1"/>
    <col min="1566" max="1569" width="2.5546875" style="433" hidden="1" customWidth="1"/>
    <col min="1570" max="1575" width="2.44140625" style="433" hidden="1" customWidth="1"/>
    <col min="1576" max="1576" width="1.5546875" style="433" hidden="1" customWidth="1"/>
    <col min="1577" max="1792" width="2.5546875" style="433" hidden="1"/>
    <col min="1793" max="1793" width="1.5546875" style="433" hidden="1" customWidth="1"/>
    <col min="1794" max="1794" width="0.88671875" style="433" hidden="1" customWidth="1"/>
    <col min="1795" max="1810" width="2.5546875" style="433" hidden="1" customWidth="1"/>
    <col min="1811" max="1811" width="4" style="433" hidden="1" customWidth="1"/>
    <col min="1812" max="1815" width="2.5546875" style="433" hidden="1" customWidth="1"/>
    <col min="1816" max="1816" width="2.44140625" style="433" hidden="1" customWidth="1"/>
    <col min="1817" max="1820" width="2.5546875" style="433" hidden="1" customWidth="1"/>
    <col min="1821" max="1821" width="2.44140625" style="433" hidden="1" customWidth="1"/>
    <col min="1822" max="1825" width="2.5546875" style="433" hidden="1" customWidth="1"/>
    <col min="1826" max="1831" width="2.44140625" style="433" hidden="1" customWidth="1"/>
    <col min="1832" max="1832" width="1.5546875" style="433" hidden="1" customWidth="1"/>
    <col min="1833" max="2048" width="2.5546875" style="433" hidden="1"/>
    <col min="2049" max="2049" width="1.5546875" style="433" hidden="1" customWidth="1"/>
    <col min="2050" max="2050" width="0.88671875" style="433" hidden="1" customWidth="1"/>
    <col min="2051" max="2066" width="2.5546875" style="433" hidden="1" customWidth="1"/>
    <col min="2067" max="2067" width="4" style="433" hidden="1" customWidth="1"/>
    <col min="2068" max="2071" width="2.5546875" style="433" hidden="1" customWidth="1"/>
    <col min="2072" max="2072" width="2.44140625" style="433" hidden="1" customWidth="1"/>
    <col min="2073" max="2076" width="2.5546875" style="433" hidden="1" customWidth="1"/>
    <col min="2077" max="2077" width="2.44140625" style="433" hidden="1" customWidth="1"/>
    <col min="2078" max="2081" width="2.5546875" style="433" hidden="1" customWidth="1"/>
    <col min="2082" max="2087" width="2.44140625" style="433" hidden="1" customWidth="1"/>
    <col min="2088" max="2088" width="1.5546875" style="433" hidden="1" customWidth="1"/>
    <col min="2089" max="2304" width="2.5546875" style="433" hidden="1"/>
    <col min="2305" max="2305" width="1.5546875" style="433" hidden="1" customWidth="1"/>
    <col min="2306" max="2306" width="0.88671875" style="433" hidden="1" customWidth="1"/>
    <col min="2307" max="2322" width="2.5546875" style="433" hidden="1" customWidth="1"/>
    <col min="2323" max="2323" width="4" style="433" hidden="1" customWidth="1"/>
    <col min="2324" max="2327" width="2.5546875" style="433" hidden="1" customWidth="1"/>
    <col min="2328" max="2328" width="2.44140625" style="433" hidden="1" customWidth="1"/>
    <col min="2329" max="2332" width="2.5546875" style="433" hidden="1" customWidth="1"/>
    <col min="2333" max="2333" width="2.44140625" style="433" hidden="1" customWidth="1"/>
    <col min="2334" max="2337" width="2.5546875" style="433" hidden="1" customWidth="1"/>
    <col min="2338" max="2343" width="2.44140625" style="433" hidden="1" customWidth="1"/>
    <col min="2344" max="2344" width="1.5546875" style="433" hidden="1" customWidth="1"/>
    <col min="2345" max="2560" width="2.5546875" style="433" hidden="1"/>
    <col min="2561" max="2561" width="1.5546875" style="433" hidden="1" customWidth="1"/>
    <col min="2562" max="2562" width="0.88671875" style="433" hidden="1" customWidth="1"/>
    <col min="2563" max="2578" width="2.5546875" style="433" hidden="1" customWidth="1"/>
    <col min="2579" max="2579" width="4" style="433" hidden="1" customWidth="1"/>
    <col min="2580" max="2583" width="2.5546875" style="433" hidden="1" customWidth="1"/>
    <col min="2584" max="2584" width="2.44140625" style="433" hidden="1" customWidth="1"/>
    <col min="2585" max="2588" width="2.5546875" style="433" hidden="1" customWidth="1"/>
    <col min="2589" max="2589" width="2.44140625" style="433" hidden="1" customWidth="1"/>
    <col min="2590" max="2593" width="2.5546875" style="433" hidden="1" customWidth="1"/>
    <col min="2594" max="2599" width="2.44140625" style="433" hidden="1" customWidth="1"/>
    <col min="2600" max="2600" width="1.5546875" style="433" hidden="1" customWidth="1"/>
    <col min="2601" max="2816" width="2.5546875" style="433" hidden="1"/>
    <col min="2817" max="2817" width="1.5546875" style="433" hidden="1" customWidth="1"/>
    <col min="2818" max="2818" width="0.88671875" style="433" hidden="1" customWidth="1"/>
    <col min="2819" max="2834" width="2.5546875" style="433" hidden="1" customWidth="1"/>
    <col min="2835" max="2835" width="4" style="433" hidden="1" customWidth="1"/>
    <col min="2836" max="2839" width="2.5546875" style="433" hidden="1" customWidth="1"/>
    <col min="2840" max="2840" width="2.44140625" style="433" hidden="1" customWidth="1"/>
    <col min="2841" max="2844" width="2.5546875" style="433" hidden="1" customWidth="1"/>
    <col min="2845" max="2845" width="2.44140625" style="433" hidden="1" customWidth="1"/>
    <col min="2846" max="2849" width="2.5546875" style="433" hidden="1" customWidth="1"/>
    <col min="2850" max="2855" width="2.44140625" style="433" hidden="1" customWidth="1"/>
    <col min="2856" max="2856" width="1.5546875" style="433" hidden="1" customWidth="1"/>
    <col min="2857" max="3072" width="2.5546875" style="433" hidden="1"/>
    <col min="3073" max="3073" width="1.5546875" style="433" hidden="1" customWidth="1"/>
    <col min="3074" max="3074" width="0.88671875" style="433" hidden="1" customWidth="1"/>
    <col min="3075" max="3090" width="2.5546875" style="433" hidden="1" customWidth="1"/>
    <col min="3091" max="3091" width="4" style="433" hidden="1" customWidth="1"/>
    <col min="3092" max="3095" width="2.5546875" style="433" hidden="1" customWidth="1"/>
    <col min="3096" max="3096" width="2.44140625" style="433" hidden="1" customWidth="1"/>
    <col min="3097" max="3100" width="2.5546875" style="433" hidden="1" customWidth="1"/>
    <col min="3101" max="3101" width="2.44140625" style="433" hidden="1" customWidth="1"/>
    <col min="3102" max="3105" width="2.5546875" style="433" hidden="1" customWidth="1"/>
    <col min="3106" max="3111" width="2.44140625" style="433" hidden="1" customWidth="1"/>
    <col min="3112" max="3112" width="1.5546875" style="433" hidden="1" customWidth="1"/>
    <col min="3113" max="3328" width="2.5546875" style="433" hidden="1"/>
    <col min="3329" max="3329" width="1.5546875" style="433" hidden="1" customWidth="1"/>
    <col min="3330" max="3330" width="0.88671875" style="433" hidden="1" customWidth="1"/>
    <col min="3331" max="3346" width="2.5546875" style="433" hidden="1" customWidth="1"/>
    <col min="3347" max="3347" width="4" style="433" hidden="1" customWidth="1"/>
    <col min="3348" max="3351" width="2.5546875" style="433" hidden="1" customWidth="1"/>
    <col min="3352" max="3352" width="2.44140625" style="433" hidden="1" customWidth="1"/>
    <col min="3353" max="3356" width="2.5546875" style="433" hidden="1" customWidth="1"/>
    <col min="3357" max="3357" width="2.44140625" style="433" hidden="1" customWidth="1"/>
    <col min="3358" max="3361" width="2.5546875" style="433" hidden="1" customWidth="1"/>
    <col min="3362" max="3367" width="2.44140625" style="433" hidden="1" customWidth="1"/>
    <col min="3368" max="3368" width="1.5546875" style="433" hidden="1" customWidth="1"/>
    <col min="3369" max="3584" width="2.5546875" style="433" hidden="1"/>
    <col min="3585" max="3585" width="1.5546875" style="433" hidden="1" customWidth="1"/>
    <col min="3586" max="3586" width="0.88671875" style="433" hidden="1" customWidth="1"/>
    <col min="3587" max="3602" width="2.5546875" style="433" hidden="1" customWidth="1"/>
    <col min="3603" max="3603" width="4" style="433" hidden="1" customWidth="1"/>
    <col min="3604" max="3607" width="2.5546875" style="433" hidden="1" customWidth="1"/>
    <col min="3608" max="3608" width="2.44140625" style="433" hidden="1" customWidth="1"/>
    <col min="3609" max="3612" width="2.5546875" style="433" hidden="1" customWidth="1"/>
    <col min="3613" max="3613" width="2.44140625" style="433" hidden="1" customWidth="1"/>
    <col min="3614" max="3617" width="2.5546875" style="433" hidden="1" customWidth="1"/>
    <col min="3618" max="3623" width="2.44140625" style="433" hidden="1" customWidth="1"/>
    <col min="3624" max="3624" width="1.5546875" style="433" hidden="1" customWidth="1"/>
    <col min="3625" max="3840" width="2.5546875" style="433" hidden="1"/>
    <col min="3841" max="3841" width="1.5546875" style="433" hidden="1" customWidth="1"/>
    <col min="3842" max="3842" width="0.88671875" style="433" hidden="1" customWidth="1"/>
    <col min="3843" max="3858" width="2.5546875" style="433" hidden="1" customWidth="1"/>
    <col min="3859" max="3859" width="4" style="433" hidden="1" customWidth="1"/>
    <col min="3860" max="3863" width="2.5546875" style="433" hidden="1" customWidth="1"/>
    <col min="3864" max="3864" width="2.44140625" style="433" hidden="1" customWidth="1"/>
    <col min="3865" max="3868" width="2.5546875" style="433" hidden="1" customWidth="1"/>
    <col min="3869" max="3869" width="2.44140625" style="433" hidden="1" customWidth="1"/>
    <col min="3870" max="3873" width="2.5546875" style="433" hidden="1" customWidth="1"/>
    <col min="3874" max="3879" width="2.44140625" style="433" hidden="1" customWidth="1"/>
    <col min="3880" max="3880" width="1.5546875" style="433" hidden="1" customWidth="1"/>
    <col min="3881" max="4096" width="2.5546875" style="433" hidden="1"/>
    <col min="4097" max="4097" width="1.5546875" style="433" hidden="1" customWidth="1"/>
    <col min="4098" max="4098" width="0.88671875" style="433" hidden="1" customWidth="1"/>
    <col min="4099" max="4114" width="2.5546875" style="433" hidden="1" customWidth="1"/>
    <col min="4115" max="4115" width="4" style="433" hidden="1" customWidth="1"/>
    <col min="4116" max="4119" width="2.5546875" style="433" hidden="1" customWidth="1"/>
    <col min="4120" max="4120" width="2.44140625" style="433" hidden="1" customWidth="1"/>
    <col min="4121" max="4124" width="2.5546875" style="433" hidden="1" customWidth="1"/>
    <col min="4125" max="4125" width="2.44140625" style="433" hidden="1" customWidth="1"/>
    <col min="4126" max="4129" width="2.5546875" style="433" hidden="1" customWidth="1"/>
    <col min="4130" max="4135" width="2.44140625" style="433" hidden="1" customWidth="1"/>
    <col min="4136" max="4136" width="1.5546875" style="433" hidden="1" customWidth="1"/>
    <col min="4137" max="4352" width="2.5546875" style="433" hidden="1"/>
    <col min="4353" max="4353" width="1.5546875" style="433" hidden="1" customWidth="1"/>
    <col min="4354" max="4354" width="0.88671875" style="433" hidden="1" customWidth="1"/>
    <col min="4355" max="4370" width="2.5546875" style="433" hidden="1" customWidth="1"/>
    <col min="4371" max="4371" width="4" style="433" hidden="1" customWidth="1"/>
    <col min="4372" max="4375" width="2.5546875" style="433" hidden="1" customWidth="1"/>
    <col min="4376" max="4376" width="2.44140625" style="433" hidden="1" customWidth="1"/>
    <col min="4377" max="4380" width="2.5546875" style="433" hidden="1" customWidth="1"/>
    <col min="4381" max="4381" width="2.44140625" style="433" hidden="1" customWidth="1"/>
    <col min="4382" max="4385" width="2.5546875" style="433" hidden="1" customWidth="1"/>
    <col min="4386" max="4391" width="2.44140625" style="433" hidden="1" customWidth="1"/>
    <col min="4392" max="4392" width="1.5546875" style="433" hidden="1" customWidth="1"/>
    <col min="4393" max="4608" width="2.5546875" style="433" hidden="1"/>
    <col min="4609" max="4609" width="1.5546875" style="433" hidden="1" customWidth="1"/>
    <col min="4610" max="4610" width="0.88671875" style="433" hidden="1" customWidth="1"/>
    <col min="4611" max="4626" width="2.5546875" style="433" hidden="1" customWidth="1"/>
    <col min="4627" max="4627" width="4" style="433" hidden="1" customWidth="1"/>
    <col min="4628" max="4631" width="2.5546875" style="433" hidden="1" customWidth="1"/>
    <col min="4632" max="4632" width="2.44140625" style="433" hidden="1" customWidth="1"/>
    <col min="4633" max="4636" width="2.5546875" style="433" hidden="1" customWidth="1"/>
    <col min="4637" max="4637" width="2.44140625" style="433" hidden="1" customWidth="1"/>
    <col min="4638" max="4641" width="2.5546875" style="433" hidden="1" customWidth="1"/>
    <col min="4642" max="4647" width="2.44140625" style="433" hidden="1" customWidth="1"/>
    <col min="4648" max="4648" width="1.5546875" style="433" hidden="1" customWidth="1"/>
    <col min="4649" max="4864" width="2.5546875" style="433" hidden="1"/>
    <col min="4865" max="4865" width="1.5546875" style="433" hidden="1" customWidth="1"/>
    <col min="4866" max="4866" width="0.88671875" style="433" hidden="1" customWidth="1"/>
    <col min="4867" max="4882" width="2.5546875" style="433" hidden="1" customWidth="1"/>
    <col min="4883" max="4883" width="4" style="433" hidden="1" customWidth="1"/>
    <col min="4884" max="4887" width="2.5546875" style="433" hidden="1" customWidth="1"/>
    <col min="4888" max="4888" width="2.44140625" style="433" hidden="1" customWidth="1"/>
    <col min="4889" max="4892" width="2.5546875" style="433" hidden="1" customWidth="1"/>
    <col min="4893" max="4893" width="2.44140625" style="433" hidden="1" customWidth="1"/>
    <col min="4894" max="4897" width="2.5546875" style="433" hidden="1" customWidth="1"/>
    <col min="4898" max="4903" width="2.44140625" style="433" hidden="1" customWidth="1"/>
    <col min="4904" max="4904" width="1.5546875" style="433" hidden="1" customWidth="1"/>
    <col min="4905" max="5120" width="2.5546875" style="433" hidden="1"/>
    <col min="5121" max="5121" width="1.5546875" style="433" hidden="1" customWidth="1"/>
    <col min="5122" max="5122" width="0.88671875" style="433" hidden="1" customWidth="1"/>
    <col min="5123" max="5138" width="2.5546875" style="433" hidden="1" customWidth="1"/>
    <col min="5139" max="5139" width="4" style="433" hidden="1" customWidth="1"/>
    <col min="5140" max="5143" width="2.5546875" style="433" hidden="1" customWidth="1"/>
    <col min="5144" max="5144" width="2.44140625" style="433" hidden="1" customWidth="1"/>
    <col min="5145" max="5148" width="2.5546875" style="433" hidden="1" customWidth="1"/>
    <col min="5149" max="5149" width="2.44140625" style="433" hidden="1" customWidth="1"/>
    <col min="5150" max="5153" width="2.5546875" style="433" hidden="1" customWidth="1"/>
    <col min="5154" max="5159" width="2.44140625" style="433" hidden="1" customWidth="1"/>
    <col min="5160" max="5160" width="1.5546875" style="433" hidden="1" customWidth="1"/>
    <col min="5161" max="5376" width="2.5546875" style="433" hidden="1"/>
    <col min="5377" max="5377" width="1.5546875" style="433" hidden="1" customWidth="1"/>
    <col min="5378" max="5378" width="0.88671875" style="433" hidden="1" customWidth="1"/>
    <col min="5379" max="5394" width="2.5546875" style="433" hidden="1" customWidth="1"/>
    <col min="5395" max="5395" width="4" style="433" hidden="1" customWidth="1"/>
    <col min="5396" max="5399" width="2.5546875" style="433" hidden="1" customWidth="1"/>
    <col min="5400" max="5400" width="2.44140625" style="433" hidden="1" customWidth="1"/>
    <col min="5401" max="5404" width="2.5546875" style="433" hidden="1" customWidth="1"/>
    <col min="5405" max="5405" width="2.44140625" style="433" hidden="1" customWidth="1"/>
    <col min="5406" max="5409" width="2.5546875" style="433" hidden="1" customWidth="1"/>
    <col min="5410" max="5415" width="2.44140625" style="433" hidden="1" customWidth="1"/>
    <col min="5416" max="5416" width="1.5546875" style="433" hidden="1" customWidth="1"/>
    <col min="5417" max="5632" width="2.5546875" style="433" hidden="1"/>
    <col min="5633" max="5633" width="1.5546875" style="433" hidden="1" customWidth="1"/>
    <col min="5634" max="5634" width="0.88671875" style="433" hidden="1" customWidth="1"/>
    <col min="5635" max="5650" width="2.5546875" style="433" hidden="1" customWidth="1"/>
    <col min="5651" max="5651" width="4" style="433" hidden="1" customWidth="1"/>
    <col min="5652" max="5655" width="2.5546875" style="433" hidden="1" customWidth="1"/>
    <col min="5656" max="5656" width="2.44140625" style="433" hidden="1" customWidth="1"/>
    <col min="5657" max="5660" width="2.5546875" style="433" hidden="1" customWidth="1"/>
    <col min="5661" max="5661" width="2.44140625" style="433" hidden="1" customWidth="1"/>
    <col min="5662" max="5665" width="2.5546875" style="433" hidden="1" customWidth="1"/>
    <col min="5666" max="5671" width="2.44140625" style="433" hidden="1" customWidth="1"/>
    <col min="5672" max="5672" width="1.5546875" style="433" hidden="1" customWidth="1"/>
    <col min="5673" max="5888" width="2.5546875" style="433" hidden="1"/>
    <col min="5889" max="5889" width="1.5546875" style="433" hidden="1" customWidth="1"/>
    <col min="5890" max="5890" width="0.88671875" style="433" hidden="1" customWidth="1"/>
    <col min="5891" max="5906" width="2.5546875" style="433" hidden="1" customWidth="1"/>
    <col min="5907" max="5907" width="4" style="433" hidden="1" customWidth="1"/>
    <col min="5908" max="5911" width="2.5546875" style="433" hidden="1" customWidth="1"/>
    <col min="5912" max="5912" width="2.44140625" style="433" hidden="1" customWidth="1"/>
    <col min="5913" max="5916" width="2.5546875" style="433" hidden="1" customWidth="1"/>
    <col min="5917" max="5917" width="2.44140625" style="433" hidden="1" customWidth="1"/>
    <col min="5918" max="5921" width="2.5546875" style="433" hidden="1" customWidth="1"/>
    <col min="5922" max="5927" width="2.44140625" style="433" hidden="1" customWidth="1"/>
    <col min="5928" max="5928" width="1.5546875" style="433" hidden="1" customWidth="1"/>
    <col min="5929" max="6144" width="2.5546875" style="433" hidden="1"/>
    <col min="6145" max="6145" width="1.5546875" style="433" hidden="1" customWidth="1"/>
    <col min="6146" max="6146" width="0.88671875" style="433" hidden="1" customWidth="1"/>
    <col min="6147" max="6162" width="2.5546875" style="433" hidden="1" customWidth="1"/>
    <col min="6163" max="6163" width="4" style="433" hidden="1" customWidth="1"/>
    <col min="6164" max="6167" width="2.5546875" style="433" hidden="1" customWidth="1"/>
    <col min="6168" max="6168" width="2.44140625" style="433" hidden="1" customWidth="1"/>
    <col min="6169" max="6172" width="2.5546875" style="433" hidden="1" customWidth="1"/>
    <col min="6173" max="6173" width="2.44140625" style="433" hidden="1" customWidth="1"/>
    <col min="6174" max="6177" width="2.5546875" style="433" hidden="1" customWidth="1"/>
    <col min="6178" max="6183" width="2.44140625" style="433" hidden="1" customWidth="1"/>
    <col min="6184" max="6184" width="1.5546875" style="433" hidden="1" customWidth="1"/>
    <col min="6185" max="6400" width="2.5546875" style="433" hidden="1"/>
    <col min="6401" max="6401" width="1.5546875" style="433" hidden="1" customWidth="1"/>
    <col min="6402" max="6402" width="0.88671875" style="433" hidden="1" customWidth="1"/>
    <col min="6403" max="6418" width="2.5546875" style="433" hidden="1" customWidth="1"/>
    <col min="6419" max="6419" width="4" style="433" hidden="1" customWidth="1"/>
    <col min="6420" max="6423" width="2.5546875" style="433" hidden="1" customWidth="1"/>
    <col min="6424" max="6424" width="2.44140625" style="433" hidden="1" customWidth="1"/>
    <col min="6425" max="6428" width="2.5546875" style="433" hidden="1" customWidth="1"/>
    <col min="6429" max="6429" width="2.44140625" style="433" hidden="1" customWidth="1"/>
    <col min="6430" max="6433" width="2.5546875" style="433" hidden="1" customWidth="1"/>
    <col min="6434" max="6439" width="2.44140625" style="433" hidden="1" customWidth="1"/>
    <col min="6440" max="6440" width="1.5546875" style="433" hidden="1" customWidth="1"/>
    <col min="6441" max="6656" width="2.5546875" style="433" hidden="1"/>
    <col min="6657" max="6657" width="1.5546875" style="433" hidden="1" customWidth="1"/>
    <col min="6658" max="6658" width="0.88671875" style="433" hidden="1" customWidth="1"/>
    <col min="6659" max="6674" width="2.5546875" style="433" hidden="1" customWidth="1"/>
    <col min="6675" max="6675" width="4" style="433" hidden="1" customWidth="1"/>
    <col min="6676" max="6679" width="2.5546875" style="433" hidden="1" customWidth="1"/>
    <col min="6680" max="6680" width="2.44140625" style="433" hidden="1" customWidth="1"/>
    <col min="6681" max="6684" width="2.5546875" style="433" hidden="1" customWidth="1"/>
    <col min="6685" max="6685" width="2.44140625" style="433" hidden="1" customWidth="1"/>
    <col min="6686" max="6689" width="2.5546875" style="433" hidden="1" customWidth="1"/>
    <col min="6690" max="6695" width="2.44140625" style="433" hidden="1" customWidth="1"/>
    <col min="6696" max="6696" width="1.5546875" style="433" hidden="1" customWidth="1"/>
    <col min="6697" max="6912" width="2.5546875" style="433" hidden="1"/>
    <col min="6913" max="6913" width="1.5546875" style="433" hidden="1" customWidth="1"/>
    <col min="6914" max="6914" width="0.88671875" style="433" hidden="1" customWidth="1"/>
    <col min="6915" max="6930" width="2.5546875" style="433" hidden="1" customWidth="1"/>
    <col min="6931" max="6931" width="4" style="433" hidden="1" customWidth="1"/>
    <col min="6932" max="6935" width="2.5546875" style="433" hidden="1" customWidth="1"/>
    <col min="6936" max="6936" width="2.44140625" style="433" hidden="1" customWidth="1"/>
    <col min="6937" max="6940" width="2.5546875" style="433" hidden="1" customWidth="1"/>
    <col min="6941" max="6941" width="2.44140625" style="433" hidden="1" customWidth="1"/>
    <col min="6942" max="6945" width="2.5546875" style="433" hidden="1" customWidth="1"/>
    <col min="6946" max="6951" width="2.44140625" style="433" hidden="1" customWidth="1"/>
    <col min="6952" max="6952" width="1.5546875" style="433" hidden="1" customWidth="1"/>
    <col min="6953" max="7168" width="2.5546875" style="433" hidden="1"/>
    <col min="7169" max="7169" width="1.5546875" style="433" hidden="1" customWidth="1"/>
    <col min="7170" max="7170" width="0.88671875" style="433" hidden="1" customWidth="1"/>
    <col min="7171" max="7186" width="2.5546875" style="433" hidden="1" customWidth="1"/>
    <col min="7187" max="7187" width="4" style="433" hidden="1" customWidth="1"/>
    <col min="7188" max="7191" width="2.5546875" style="433" hidden="1" customWidth="1"/>
    <col min="7192" max="7192" width="2.44140625" style="433" hidden="1" customWidth="1"/>
    <col min="7193" max="7196" width="2.5546875" style="433" hidden="1" customWidth="1"/>
    <col min="7197" max="7197" width="2.44140625" style="433" hidden="1" customWidth="1"/>
    <col min="7198" max="7201" width="2.5546875" style="433" hidden="1" customWidth="1"/>
    <col min="7202" max="7207" width="2.44140625" style="433" hidden="1" customWidth="1"/>
    <col min="7208" max="7208" width="1.5546875" style="433" hidden="1" customWidth="1"/>
    <col min="7209" max="7424" width="2.5546875" style="433" hidden="1"/>
    <col min="7425" max="7425" width="1.5546875" style="433" hidden="1" customWidth="1"/>
    <col min="7426" max="7426" width="0.88671875" style="433" hidden="1" customWidth="1"/>
    <col min="7427" max="7442" width="2.5546875" style="433" hidden="1" customWidth="1"/>
    <col min="7443" max="7443" width="4" style="433" hidden="1" customWidth="1"/>
    <col min="7444" max="7447" width="2.5546875" style="433" hidden="1" customWidth="1"/>
    <col min="7448" max="7448" width="2.44140625" style="433" hidden="1" customWidth="1"/>
    <col min="7449" max="7452" width="2.5546875" style="433" hidden="1" customWidth="1"/>
    <col min="7453" max="7453" width="2.44140625" style="433" hidden="1" customWidth="1"/>
    <col min="7454" max="7457" width="2.5546875" style="433" hidden="1" customWidth="1"/>
    <col min="7458" max="7463" width="2.44140625" style="433" hidden="1" customWidth="1"/>
    <col min="7464" max="7464" width="1.5546875" style="433" hidden="1" customWidth="1"/>
    <col min="7465" max="7680" width="2.5546875" style="433" hidden="1"/>
    <col min="7681" max="7681" width="1.5546875" style="433" hidden="1" customWidth="1"/>
    <col min="7682" max="7682" width="0.88671875" style="433" hidden="1" customWidth="1"/>
    <col min="7683" max="7698" width="2.5546875" style="433" hidden="1" customWidth="1"/>
    <col min="7699" max="7699" width="4" style="433" hidden="1" customWidth="1"/>
    <col min="7700" max="7703" width="2.5546875" style="433" hidden="1" customWidth="1"/>
    <col min="7704" max="7704" width="2.44140625" style="433" hidden="1" customWidth="1"/>
    <col min="7705" max="7708" width="2.5546875" style="433" hidden="1" customWidth="1"/>
    <col min="7709" max="7709" width="2.44140625" style="433" hidden="1" customWidth="1"/>
    <col min="7710" max="7713" width="2.5546875" style="433" hidden="1" customWidth="1"/>
    <col min="7714" max="7719" width="2.44140625" style="433" hidden="1" customWidth="1"/>
    <col min="7720" max="7720" width="1.5546875" style="433" hidden="1" customWidth="1"/>
    <col min="7721" max="7936" width="2.5546875" style="433" hidden="1"/>
    <col min="7937" max="7937" width="1.5546875" style="433" hidden="1" customWidth="1"/>
    <col min="7938" max="7938" width="0.88671875" style="433" hidden="1" customWidth="1"/>
    <col min="7939" max="7954" width="2.5546875" style="433" hidden="1" customWidth="1"/>
    <col min="7955" max="7955" width="4" style="433" hidden="1" customWidth="1"/>
    <col min="7956" max="7959" width="2.5546875" style="433" hidden="1" customWidth="1"/>
    <col min="7960" max="7960" width="2.44140625" style="433" hidden="1" customWidth="1"/>
    <col min="7961" max="7964" width="2.5546875" style="433" hidden="1" customWidth="1"/>
    <col min="7965" max="7965" width="2.44140625" style="433" hidden="1" customWidth="1"/>
    <col min="7966" max="7969" width="2.5546875" style="433" hidden="1" customWidth="1"/>
    <col min="7970" max="7975" width="2.44140625" style="433" hidden="1" customWidth="1"/>
    <col min="7976" max="7976" width="1.5546875" style="433" hidden="1" customWidth="1"/>
    <col min="7977" max="8192" width="2.5546875" style="433" hidden="1"/>
    <col min="8193" max="8193" width="1.5546875" style="433" hidden="1" customWidth="1"/>
    <col min="8194" max="8194" width="0.88671875" style="433" hidden="1" customWidth="1"/>
    <col min="8195" max="8210" width="2.5546875" style="433" hidden="1" customWidth="1"/>
    <col min="8211" max="8211" width="4" style="433" hidden="1" customWidth="1"/>
    <col min="8212" max="8215" width="2.5546875" style="433" hidden="1" customWidth="1"/>
    <col min="8216" max="8216" width="2.44140625" style="433" hidden="1" customWidth="1"/>
    <col min="8217" max="8220" width="2.5546875" style="433" hidden="1" customWidth="1"/>
    <col min="8221" max="8221" width="2.44140625" style="433" hidden="1" customWidth="1"/>
    <col min="8222" max="8225" width="2.5546875" style="433" hidden="1" customWidth="1"/>
    <col min="8226" max="8231" width="2.44140625" style="433" hidden="1" customWidth="1"/>
    <col min="8232" max="8232" width="1.5546875" style="433" hidden="1" customWidth="1"/>
    <col min="8233" max="8448" width="2.5546875" style="433" hidden="1"/>
    <col min="8449" max="8449" width="1.5546875" style="433" hidden="1" customWidth="1"/>
    <col min="8450" max="8450" width="0.88671875" style="433" hidden="1" customWidth="1"/>
    <col min="8451" max="8466" width="2.5546875" style="433" hidden="1" customWidth="1"/>
    <col min="8467" max="8467" width="4" style="433" hidden="1" customWidth="1"/>
    <col min="8468" max="8471" width="2.5546875" style="433" hidden="1" customWidth="1"/>
    <col min="8472" max="8472" width="2.44140625" style="433" hidden="1" customWidth="1"/>
    <col min="8473" max="8476" width="2.5546875" style="433" hidden="1" customWidth="1"/>
    <col min="8477" max="8477" width="2.44140625" style="433" hidden="1" customWidth="1"/>
    <col min="8478" max="8481" width="2.5546875" style="433" hidden="1" customWidth="1"/>
    <col min="8482" max="8487" width="2.44140625" style="433" hidden="1" customWidth="1"/>
    <col min="8488" max="8488" width="1.5546875" style="433" hidden="1" customWidth="1"/>
    <col min="8489" max="8704" width="2.5546875" style="433" hidden="1"/>
    <col min="8705" max="8705" width="1.5546875" style="433" hidden="1" customWidth="1"/>
    <col min="8706" max="8706" width="0.88671875" style="433" hidden="1" customWidth="1"/>
    <col min="8707" max="8722" width="2.5546875" style="433" hidden="1" customWidth="1"/>
    <col min="8723" max="8723" width="4" style="433" hidden="1" customWidth="1"/>
    <col min="8724" max="8727" width="2.5546875" style="433" hidden="1" customWidth="1"/>
    <col min="8728" max="8728" width="2.44140625" style="433" hidden="1" customWidth="1"/>
    <col min="8729" max="8732" width="2.5546875" style="433" hidden="1" customWidth="1"/>
    <col min="8733" max="8733" width="2.44140625" style="433" hidden="1" customWidth="1"/>
    <col min="8734" max="8737" width="2.5546875" style="433" hidden="1" customWidth="1"/>
    <col min="8738" max="8743" width="2.44140625" style="433" hidden="1" customWidth="1"/>
    <col min="8744" max="8744" width="1.5546875" style="433" hidden="1" customWidth="1"/>
    <col min="8745" max="8960" width="2.5546875" style="433" hidden="1"/>
    <col min="8961" max="8961" width="1.5546875" style="433" hidden="1" customWidth="1"/>
    <col min="8962" max="8962" width="0.88671875" style="433" hidden="1" customWidth="1"/>
    <col min="8963" max="8978" width="2.5546875" style="433" hidden="1" customWidth="1"/>
    <col min="8979" max="8979" width="4" style="433" hidden="1" customWidth="1"/>
    <col min="8980" max="8983" width="2.5546875" style="433" hidden="1" customWidth="1"/>
    <col min="8984" max="8984" width="2.44140625" style="433" hidden="1" customWidth="1"/>
    <col min="8985" max="8988" width="2.5546875" style="433" hidden="1" customWidth="1"/>
    <col min="8989" max="8989" width="2.44140625" style="433" hidden="1" customWidth="1"/>
    <col min="8990" max="8993" width="2.5546875" style="433" hidden="1" customWidth="1"/>
    <col min="8994" max="8999" width="2.44140625" style="433" hidden="1" customWidth="1"/>
    <col min="9000" max="9000" width="1.5546875" style="433" hidden="1" customWidth="1"/>
    <col min="9001" max="9216" width="2.5546875" style="433" hidden="1"/>
    <col min="9217" max="9217" width="1.5546875" style="433" hidden="1" customWidth="1"/>
    <col min="9218" max="9218" width="0.88671875" style="433" hidden="1" customWidth="1"/>
    <col min="9219" max="9234" width="2.5546875" style="433" hidden="1" customWidth="1"/>
    <col min="9235" max="9235" width="4" style="433" hidden="1" customWidth="1"/>
    <col min="9236" max="9239" width="2.5546875" style="433" hidden="1" customWidth="1"/>
    <col min="9240" max="9240" width="2.44140625" style="433" hidden="1" customWidth="1"/>
    <col min="9241" max="9244" width="2.5546875" style="433" hidden="1" customWidth="1"/>
    <col min="9245" max="9245" width="2.44140625" style="433" hidden="1" customWidth="1"/>
    <col min="9246" max="9249" width="2.5546875" style="433" hidden="1" customWidth="1"/>
    <col min="9250" max="9255" width="2.44140625" style="433" hidden="1" customWidth="1"/>
    <col min="9256" max="9256" width="1.5546875" style="433" hidden="1" customWidth="1"/>
    <col min="9257" max="9472" width="2.5546875" style="433" hidden="1"/>
    <col min="9473" max="9473" width="1.5546875" style="433" hidden="1" customWidth="1"/>
    <col min="9474" max="9474" width="0.88671875" style="433" hidden="1" customWidth="1"/>
    <col min="9475" max="9490" width="2.5546875" style="433" hidden="1" customWidth="1"/>
    <col min="9491" max="9491" width="4" style="433" hidden="1" customWidth="1"/>
    <col min="9492" max="9495" width="2.5546875" style="433" hidden="1" customWidth="1"/>
    <col min="9496" max="9496" width="2.44140625" style="433" hidden="1" customWidth="1"/>
    <col min="9497" max="9500" width="2.5546875" style="433" hidden="1" customWidth="1"/>
    <col min="9501" max="9501" width="2.44140625" style="433" hidden="1" customWidth="1"/>
    <col min="9502" max="9505" width="2.5546875" style="433" hidden="1" customWidth="1"/>
    <col min="9506" max="9511" width="2.44140625" style="433" hidden="1" customWidth="1"/>
    <col min="9512" max="9512" width="1.5546875" style="433" hidden="1" customWidth="1"/>
    <col min="9513" max="9728" width="2.5546875" style="433" hidden="1"/>
    <col min="9729" max="9729" width="1.5546875" style="433" hidden="1" customWidth="1"/>
    <col min="9730" max="9730" width="0.88671875" style="433" hidden="1" customWidth="1"/>
    <col min="9731" max="9746" width="2.5546875" style="433" hidden="1" customWidth="1"/>
    <col min="9747" max="9747" width="4" style="433" hidden="1" customWidth="1"/>
    <col min="9748" max="9751" width="2.5546875" style="433" hidden="1" customWidth="1"/>
    <col min="9752" max="9752" width="2.44140625" style="433" hidden="1" customWidth="1"/>
    <col min="9753" max="9756" width="2.5546875" style="433" hidden="1" customWidth="1"/>
    <col min="9757" max="9757" width="2.44140625" style="433" hidden="1" customWidth="1"/>
    <col min="9758" max="9761" width="2.5546875" style="433" hidden="1" customWidth="1"/>
    <col min="9762" max="9767" width="2.44140625" style="433" hidden="1" customWidth="1"/>
    <col min="9768" max="9768" width="1.5546875" style="433" hidden="1" customWidth="1"/>
    <col min="9769" max="9984" width="2.5546875" style="433" hidden="1"/>
    <col min="9985" max="9985" width="1.5546875" style="433" hidden="1" customWidth="1"/>
    <col min="9986" max="9986" width="0.88671875" style="433" hidden="1" customWidth="1"/>
    <col min="9987" max="10002" width="2.5546875" style="433" hidden="1" customWidth="1"/>
    <col min="10003" max="10003" width="4" style="433" hidden="1" customWidth="1"/>
    <col min="10004" max="10007" width="2.5546875" style="433" hidden="1" customWidth="1"/>
    <col min="10008" max="10008" width="2.44140625" style="433" hidden="1" customWidth="1"/>
    <col min="10009" max="10012" width="2.5546875" style="433" hidden="1" customWidth="1"/>
    <col min="10013" max="10013" width="2.44140625" style="433" hidden="1" customWidth="1"/>
    <col min="10014" max="10017" width="2.5546875" style="433" hidden="1" customWidth="1"/>
    <col min="10018" max="10023" width="2.44140625" style="433" hidden="1" customWidth="1"/>
    <col min="10024" max="10024" width="1.5546875" style="433" hidden="1" customWidth="1"/>
    <col min="10025" max="10240" width="2.5546875" style="433" hidden="1"/>
    <col min="10241" max="10241" width="1.5546875" style="433" hidden="1" customWidth="1"/>
    <col min="10242" max="10242" width="0.88671875" style="433" hidden="1" customWidth="1"/>
    <col min="10243" max="10258" width="2.5546875" style="433" hidden="1" customWidth="1"/>
    <col min="10259" max="10259" width="4" style="433" hidden="1" customWidth="1"/>
    <col min="10260" max="10263" width="2.5546875" style="433" hidden="1" customWidth="1"/>
    <col min="10264" max="10264" width="2.44140625" style="433" hidden="1" customWidth="1"/>
    <col min="10265" max="10268" width="2.5546875" style="433" hidden="1" customWidth="1"/>
    <col min="10269" max="10269" width="2.44140625" style="433" hidden="1" customWidth="1"/>
    <col min="10270" max="10273" width="2.5546875" style="433" hidden="1" customWidth="1"/>
    <col min="10274" max="10279" width="2.44140625" style="433" hidden="1" customWidth="1"/>
    <col min="10280" max="10280" width="1.5546875" style="433" hidden="1" customWidth="1"/>
    <col min="10281" max="10496" width="2.5546875" style="433" hidden="1"/>
    <col min="10497" max="10497" width="1.5546875" style="433" hidden="1" customWidth="1"/>
    <col min="10498" max="10498" width="0.88671875" style="433" hidden="1" customWidth="1"/>
    <col min="10499" max="10514" width="2.5546875" style="433" hidden="1" customWidth="1"/>
    <col min="10515" max="10515" width="4" style="433" hidden="1" customWidth="1"/>
    <col min="10516" max="10519" width="2.5546875" style="433" hidden="1" customWidth="1"/>
    <col min="10520" max="10520" width="2.44140625" style="433" hidden="1" customWidth="1"/>
    <col min="10521" max="10524" width="2.5546875" style="433" hidden="1" customWidth="1"/>
    <col min="10525" max="10525" width="2.44140625" style="433" hidden="1" customWidth="1"/>
    <col min="10526" max="10529" width="2.5546875" style="433" hidden="1" customWidth="1"/>
    <col min="10530" max="10535" width="2.44140625" style="433" hidden="1" customWidth="1"/>
    <col min="10536" max="10536" width="1.5546875" style="433" hidden="1" customWidth="1"/>
    <col min="10537" max="10752" width="2.5546875" style="433" hidden="1"/>
    <col min="10753" max="10753" width="1.5546875" style="433" hidden="1" customWidth="1"/>
    <col min="10754" max="10754" width="0.88671875" style="433" hidden="1" customWidth="1"/>
    <col min="10755" max="10770" width="2.5546875" style="433" hidden="1" customWidth="1"/>
    <col min="10771" max="10771" width="4" style="433" hidden="1" customWidth="1"/>
    <col min="10772" max="10775" width="2.5546875" style="433" hidden="1" customWidth="1"/>
    <col min="10776" max="10776" width="2.44140625" style="433" hidden="1" customWidth="1"/>
    <col min="10777" max="10780" width="2.5546875" style="433" hidden="1" customWidth="1"/>
    <col min="10781" max="10781" width="2.44140625" style="433" hidden="1" customWidth="1"/>
    <col min="10782" max="10785" width="2.5546875" style="433" hidden="1" customWidth="1"/>
    <col min="10786" max="10791" width="2.44140625" style="433" hidden="1" customWidth="1"/>
    <col min="10792" max="10792" width="1.5546875" style="433" hidden="1" customWidth="1"/>
    <col min="10793" max="11008" width="2.5546875" style="433" hidden="1"/>
    <col min="11009" max="11009" width="1.5546875" style="433" hidden="1" customWidth="1"/>
    <col min="11010" max="11010" width="0.88671875" style="433" hidden="1" customWidth="1"/>
    <col min="11011" max="11026" width="2.5546875" style="433" hidden="1" customWidth="1"/>
    <col min="11027" max="11027" width="4" style="433" hidden="1" customWidth="1"/>
    <col min="11028" max="11031" width="2.5546875" style="433" hidden="1" customWidth="1"/>
    <col min="11032" max="11032" width="2.44140625" style="433" hidden="1" customWidth="1"/>
    <col min="11033" max="11036" width="2.5546875" style="433" hidden="1" customWidth="1"/>
    <col min="11037" max="11037" width="2.44140625" style="433" hidden="1" customWidth="1"/>
    <col min="11038" max="11041" width="2.5546875" style="433" hidden="1" customWidth="1"/>
    <col min="11042" max="11047" width="2.44140625" style="433" hidden="1" customWidth="1"/>
    <col min="11048" max="11048" width="1.5546875" style="433" hidden="1" customWidth="1"/>
    <col min="11049" max="11264" width="2.5546875" style="433" hidden="1"/>
    <col min="11265" max="11265" width="1.5546875" style="433" hidden="1" customWidth="1"/>
    <col min="11266" max="11266" width="0.88671875" style="433" hidden="1" customWidth="1"/>
    <col min="11267" max="11282" width="2.5546875" style="433" hidden="1" customWidth="1"/>
    <col min="11283" max="11283" width="4" style="433" hidden="1" customWidth="1"/>
    <col min="11284" max="11287" width="2.5546875" style="433" hidden="1" customWidth="1"/>
    <col min="11288" max="11288" width="2.44140625" style="433" hidden="1" customWidth="1"/>
    <col min="11289" max="11292" width="2.5546875" style="433" hidden="1" customWidth="1"/>
    <col min="11293" max="11293" width="2.44140625" style="433" hidden="1" customWidth="1"/>
    <col min="11294" max="11297" width="2.5546875" style="433" hidden="1" customWidth="1"/>
    <col min="11298" max="11303" width="2.44140625" style="433" hidden="1" customWidth="1"/>
    <col min="11304" max="11304" width="1.5546875" style="433" hidden="1" customWidth="1"/>
    <col min="11305" max="11520" width="2.5546875" style="433" hidden="1"/>
    <col min="11521" max="11521" width="1.5546875" style="433" hidden="1" customWidth="1"/>
    <col min="11522" max="11522" width="0.88671875" style="433" hidden="1" customWidth="1"/>
    <col min="11523" max="11538" width="2.5546875" style="433" hidden="1" customWidth="1"/>
    <col min="11539" max="11539" width="4" style="433" hidden="1" customWidth="1"/>
    <col min="11540" max="11543" width="2.5546875" style="433" hidden="1" customWidth="1"/>
    <col min="11544" max="11544" width="2.44140625" style="433" hidden="1" customWidth="1"/>
    <col min="11545" max="11548" width="2.5546875" style="433" hidden="1" customWidth="1"/>
    <col min="11549" max="11549" width="2.44140625" style="433" hidden="1" customWidth="1"/>
    <col min="11550" max="11553" width="2.5546875" style="433" hidden="1" customWidth="1"/>
    <col min="11554" max="11559" width="2.44140625" style="433" hidden="1" customWidth="1"/>
    <col min="11560" max="11560" width="1.5546875" style="433" hidden="1" customWidth="1"/>
    <col min="11561" max="11776" width="2.5546875" style="433" hidden="1"/>
    <col min="11777" max="11777" width="1.5546875" style="433" hidden="1" customWidth="1"/>
    <col min="11778" max="11778" width="0.88671875" style="433" hidden="1" customWidth="1"/>
    <col min="11779" max="11794" width="2.5546875" style="433" hidden="1" customWidth="1"/>
    <col min="11795" max="11795" width="4" style="433" hidden="1" customWidth="1"/>
    <col min="11796" max="11799" width="2.5546875" style="433" hidden="1" customWidth="1"/>
    <col min="11800" max="11800" width="2.44140625" style="433" hidden="1" customWidth="1"/>
    <col min="11801" max="11804" width="2.5546875" style="433" hidden="1" customWidth="1"/>
    <col min="11805" max="11805" width="2.44140625" style="433" hidden="1" customWidth="1"/>
    <col min="11806" max="11809" width="2.5546875" style="433" hidden="1" customWidth="1"/>
    <col min="11810" max="11815" width="2.44140625" style="433" hidden="1" customWidth="1"/>
    <col min="11816" max="11816" width="1.5546875" style="433" hidden="1" customWidth="1"/>
    <col min="11817" max="12032" width="2.5546875" style="433" hidden="1"/>
    <col min="12033" max="12033" width="1.5546875" style="433" hidden="1" customWidth="1"/>
    <col min="12034" max="12034" width="0.88671875" style="433" hidden="1" customWidth="1"/>
    <col min="12035" max="12050" width="2.5546875" style="433" hidden="1" customWidth="1"/>
    <col min="12051" max="12051" width="4" style="433" hidden="1" customWidth="1"/>
    <col min="12052" max="12055" width="2.5546875" style="433" hidden="1" customWidth="1"/>
    <col min="12056" max="12056" width="2.44140625" style="433" hidden="1" customWidth="1"/>
    <col min="12057" max="12060" width="2.5546875" style="433" hidden="1" customWidth="1"/>
    <col min="12061" max="12061" width="2.44140625" style="433" hidden="1" customWidth="1"/>
    <col min="12062" max="12065" width="2.5546875" style="433" hidden="1" customWidth="1"/>
    <col min="12066" max="12071" width="2.44140625" style="433" hidden="1" customWidth="1"/>
    <col min="12072" max="12072" width="1.5546875" style="433" hidden="1" customWidth="1"/>
    <col min="12073" max="12288" width="2.5546875" style="433" hidden="1"/>
    <col min="12289" max="12289" width="1.5546875" style="433" hidden="1" customWidth="1"/>
    <col min="12290" max="12290" width="0.88671875" style="433" hidden="1" customWidth="1"/>
    <col min="12291" max="12306" width="2.5546875" style="433" hidden="1" customWidth="1"/>
    <col min="12307" max="12307" width="4" style="433" hidden="1" customWidth="1"/>
    <col min="12308" max="12311" width="2.5546875" style="433" hidden="1" customWidth="1"/>
    <col min="12312" max="12312" width="2.44140625" style="433" hidden="1" customWidth="1"/>
    <col min="12313" max="12316" width="2.5546875" style="433" hidden="1" customWidth="1"/>
    <col min="12317" max="12317" width="2.44140625" style="433" hidden="1" customWidth="1"/>
    <col min="12318" max="12321" width="2.5546875" style="433" hidden="1" customWidth="1"/>
    <col min="12322" max="12327" width="2.44140625" style="433" hidden="1" customWidth="1"/>
    <col min="12328" max="12328" width="1.5546875" style="433" hidden="1" customWidth="1"/>
    <col min="12329" max="12544" width="2.5546875" style="433" hidden="1"/>
    <col min="12545" max="12545" width="1.5546875" style="433" hidden="1" customWidth="1"/>
    <col min="12546" max="12546" width="0.88671875" style="433" hidden="1" customWidth="1"/>
    <col min="12547" max="12562" width="2.5546875" style="433" hidden="1" customWidth="1"/>
    <col min="12563" max="12563" width="4" style="433" hidden="1" customWidth="1"/>
    <col min="12564" max="12567" width="2.5546875" style="433" hidden="1" customWidth="1"/>
    <col min="12568" max="12568" width="2.44140625" style="433" hidden="1" customWidth="1"/>
    <col min="12569" max="12572" width="2.5546875" style="433" hidden="1" customWidth="1"/>
    <col min="12573" max="12573" width="2.44140625" style="433" hidden="1" customWidth="1"/>
    <col min="12574" max="12577" width="2.5546875" style="433" hidden="1" customWidth="1"/>
    <col min="12578" max="12583" width="2.44140625" style="433" hidden="1" customWidth="1"/>
    <col min="12584" max="12584" width="1.5546875" style="433" hidden="1" customWidth="1"/>
    <col min="12585" max="12800" width="2.5546875" style="433" hidden="1"/>
    <col min="12801" max="12801" width="1.5546875" style="433" hidden="1" customWidth="1"/>
    <col min="12802" max="12802" width="0.88671875" style="433" hidden="1" customWidth="1"/>
    <col min="12803" max="12818" width="2.5546875" style="433" hidden="1" customWidth="1"/>
    <col min="12819" max="12819" width="4" style="433" hidden="1" customWidth="1"/>
    <col min="12820" max="12823" width="2.5546875" style="433" hidden="1" customWidth="1"/>
    <col min="12824" max="12824" width="2.44140625" style="433" hidden="1" customWidth="1"/>
    <col min="12825" max="12828" width="2.5546875" style="433" hidden="1" customWidth="1"/>
    <col min="12829" max="12829" width="2.44140625" style="433" hidden="1" customWidth="1"/>
    <col min="12830" max="12833" width="2.5546875" style="433" hidden="1" customWidth="1"/>
    <col min="12834" max="12839" width="2.44140625" style="433" hidden="1" customWidth="1"/>
    <col min="12840" max="12840" width="1.5546875" style="433" hidden="1" customWidth="1"/>
    <col min="12841" max="13056" width="2.5546875" style="433" hidden="1"/>
    <col min="13057" max="13057" width="1.5546875" style="433" hidden="1" customWidth="1"/>
    <col min="13058" max="13058" width="0.88671875" style="433" hidden="1" customWidth="1"/>
    <col min="13059" max="13074" width="2.5546875" style="433" hidden="1" customWidth="1"/>
    <col min="13075" max="13075" width="4" style="433" hidden="1" customWidth="1"/>
    <col min="13076" max="13079" width="2.5546875" style="433" hidden="1" customWidth="1"/>
    <col min="13080" max="13080" width="2.44140625" style="433" hidden="1" customWidth="1"/>
    <col min="13081" max="13084" width="2.5546875" style="433" hidden="1" customWidth="1"/>
    <col min="13085" max="13085" width="2.44140625" style="433" hidden="1" customWidth="1"/>
    <col min="13086" max="13089" width="2.5546875" style="433" hidden="1" customWidth="1"/>
    <col min="13090" max="13095" width="2.44140625" style="433" hidden="1" customWidth="1"/>
    <col min="13096" max="13096" width="1.5546875" style="433" hidden="1" customWidth="1"/>
    <col min="13097" max="13312" width="2.5546875" style="433" hidden="1"/>
    <col min="13313" max="13313" width="1.5546875" style="433" hidden="1" customWidth="1"/>
    <col min="13314" max="13314" width="0.88671875" style="433" hidden="1" customWidth="1"/>
    <col min="13315" max="13330" width="2.5546875" style="433" hidden="1" customWidth="1"/>
    <col min="13331" max="13331" width="4" style="433" hidden="1" customWidth="1"/>
    <col min="13332" max="13335" width="2.5546875" style="433" hidden="1" customWidth="1"/>
    <col min="13336" max="13336" width="2.44140625" style="433" hidden="1" customWidth="1"/>
    <col min="13337" max="13340" width="2.5546875" style="433" hidden="1" customWidth="1"/>
    <col min="13341" max="13341" width="2.44140625" style="433" hidden="1" customWidth="1"/>
    <col min="13342" max="13345" width="2.5546875" style="433" hidden="1" customWidth="1"/>
    <col min="13346" max="13351" width="2.44140625" style="433" hidden="1" customWidth="1"/>
    <col min="13352" max="13352" width="1.5546875" style="433" hidden="1" customWidth="1"/>
    <col min="13353" max="13568" width="2.5546875" style="433" hidden="1"/>
    <col min="13569" max="13569" width="1.5546875" style="433" hidden="1" customWidth="1"/>
    <col min="13570" max="13570" width="0.88671875" style="433" hidden="1" customWidth="1"/>
    <col min="13571" max="13586" width="2.5546875" style="433" hidden="1" customWidth="1"/>
    <col min="13587" max="13587" width="4" style="433" hidden="1" customWidth="1"/>
    <col min="13588" max="13591" width="2.5546875" style="433" hidden="1" customWidth="1"/>
    <col min="13592" max="13592" width="2.44140625" style="433" hidden="1" customWidth="1"/>
    <col min="13593" max="13596" width="2.5546875" style="433" hidden="1" customWidth="1"/>
    <col min="13597" max="13597" width="2.44140625" style="433" hidden="1" customWidth="1"/>
    <col min="13598" max="13601" width="2.5546875" style="433" hidden="1" customWidth="1"/>
    <col min="13602" max="13607" width="2.44140625" style="433" hidden="1" customWidth="1"/>
    <col min="13608" max="13608" width="1.5546875" style="433" hidden="1" customWidth="1"/>
    <col min="13609" max="13824" width="2.5546875" style="433" hidden="1"/>
    <col min="13825" max="13825" width="1.5546875" style="433" hidden="1" customWidth="1"/>
    <col min="13826" max="13826" width="0.88671875" style="433" hidden="1" customWidth="1"/>
    <col min="13827" max="13842" width="2.5546875" style="433" hidden="1" customWidth="1"/>
    <col min="13843" max="13843" width="4" style="433" hidden="1" customWidth="1"/>
    <col min="13844" max="13847" width="2.5546875" style="433" hidden="1" customWidth="1"/>
    <col min="13848" max="13848" width="2.44140625" style="433" hidden="1" customWidth="1"/>
    <col min="13849" max="13852" width="2.5546875" style="433" hidden="1" customWidth="1"/>
    <col min="13853" max="13853" width="2.44140625" style="433" hidden="1" customWidth="1"/>
    <col min="13854" max="13857" width="2.5546875" style="433" hidden="1" customWidth="1"/>
    <col min="13858" max="13863" width="2.44140625" style="433" hidden="1" customWidth="1"/>
    <col min="13864" max="13864" width="1.5546875" style="433" hidden="1" customWidth="1"/>
    <col min="13865" max="14080" width="2.5546875" style="433" hidden="1"/>
    <col min="14081" max="14081" width="1.5546875" style="433" hidden="1" customWidth="1"/>
    <col min="14082" max="14082" width="0.88671875" style="433" hidden="1" customWidth="1"/>
    <col min="14083" max="14098" width="2.5546875" style="433" hidden="1" customWidth="1"/>
    <col min="14099" max="14099" width="4" style="433" hidden="1" customWidth="1"/>
    <col min="14100" max="14103" width="2.5546875" style="433" hidden="1" customWidth="1"/>
    <col min="14104" max="14104" width="2.44140625" style="433" hidden="1" customWidth="1"/>
    <col min="14105" max="14108" width="2.5546875" style="433" hidden="1" customWidth="1"/>
    <col min="14109" max="14109" width="2.44140625" style="433" hidden="1" customWidth="1"/>
    <col min="14110" max="14113" width="2.5546875" style="433" hidden="1" customWidth="1"/>
    <col min="14114" max="14119" width="2.44140625" style="433" hidden="1" customWidth="1"/>
    <col min="14120" max="14120" width="1.5546875" style="433" hidden="1" customWidth="1"/>
    <col min="14121" max="14336" width="2.5546875" style="433" hidden="1"/>
    <col min="14337" max="14337" width="1.5546875" style="433" hidden="1" customWidth="1"/>
    <col min="14338" max="14338" width="0.88671875" style="433" hidden="1" customWidth="1"/>
    <col min="14339" max="14354" width="2.5546875" style="433" hidden="1" customWidth="1"/>
    <col min="14355" max="14355" width="4" style="433" hidden="1" customWidth="1"/>
    <col min="14356" max="14359" width="2.5546875" style="433" hidden="1" customWidth="1"/>
    <col min="14360" max="14360" width="2.44140625" style="433" hidden="1" customWidth="1"/>
    <col min="14361" max="14364" width="2.5546875" style="433" hidden="1" customWidth="1"/>
    <col min="14365" max="14365" width="2.44140625" style="433" hidden="1" customWidth="1"/>
    <col min="14366" max="14369" width="2.5546875" style="433" hidden="1" customWidth="1"/>
    <col min="14370" max="14375" width="2.44140625" style="433" hidden="1" customWidth="1"/>
    <col min="14376" max="14376" width="1.5546875" style="433" hidden="1" customWidth="1"/>
    <col min="14377" max="14592" width="2.5546875" style="433" hidden="1"/>
    <col min="14593" max="14593" width="1.5546875" style="433" hidden="1" customWidth="1"/>
    <col min="14594" max="14594" width="0.88671875" style="433" hidden="1" customWidth="1"/>
    <col min="14595" max="14610" width="2.5546875" style="433" hidden="1" customWidth="1"/>
    <col min="14611" max="14611" width="4" style="433" hidden="1" customWidth="1"/>
    <col min="14612" max="14615" width="2.5546875" style="433" hidden="1" customWidth="1"/>
    <col min="14616" max="14616" width="2.44140625" style="433" hidden="1" customWidth="1"/>
    <col min="14617" max="14620" width="2.5546875" style="433" hidden="1" customWidth="1"/>
    <col min="14621" max="14621" width="2.44140625" style="433" hidden="1" customWidth="1"/>
    <col min="14622" max="14625" width="2.5546875" style="433" hidden="1" customWidth="1"/>
    <col min="14626" max="14631" width="2.44140625" style="433" hidden="1" customWidth="1"/>
    <col min="14632" max="14632" width="1.5546875" style="433" hidden="1" customWidth="1"/>
    <col min="14633" max="14848" width="2.5546875" style="433" hidden="1"/>
    <col min="14849" max="14849" width="1.5546875" style="433" hidden="1" customWidth="1"/>
    <col min="14850" max="14850" width="0.88671875" style="433" hidden="1" customWidth="1"/>
    <col min="14851" max="14866" width="2.5546875" style="433" hidden="1" customWidth="1"/>
    <col min="14867" max="14867" width="4" style="433" hidden="1" customWidth="1"/>
    <col min="14868" max="14871" width="2.5546875" style="433" hidden="1" customWidth="1"/>
    <col min="14872" max="14872" width="2.44140625" style="433" hidden="1" customWidth="1"/>
    <col min="14873" max="14876" width="2.5546875" style="433" hidden="1" customWidth="1"/>
    <col min="14877" max="14877" width="2.44140625" style="433" hidden="1" customWidth="1"/>
    <col min="14878" max="14881" width="2.5546875" style="433" hidden="1" customWidth="1"/>
    <col min="14882" max="14887" width="2.44140625" style="433" hidden="1" customWidth="1"/>
    <col min="14888" max="14888" width="1.5546875" style="433" hidden="1" customWidth="1"/>
    <col min="14889" max="15104" width="2.5546875" style="433" hidden="1"/>
    <col min="15105" max="15105" width="1.5546875" style="433" hidden="1" customWidth="1"/>
    <col min="15106" max="15106" width="0.88671875" style="433" hidden="1" customWidth="1"/>
    <col min="15107" max="15122" width="2.5546875" style="433" hidden="1" customWidth="1"/>
    <col min="15123" max="15123" width="4" style="433" hidden="1" customWidth="1"/>
    <col min="15124" max="15127" width="2.5546875" style="433" hidden="1" customWidth="1"/>
    <col min="15128" max="15128" width="2.44140625" style="433" hidden="1" customWidth="1"/>
    <col min="15129" max="15132" width="2.5546875" style="433" hidden="1" customWidth="1"/>
    <col min="15133" max="15133" width="2.44140625" style="433" hidden="1" customWidth="1"/>
    <col min="15134" max="15137" width="2.5546875" style="433" hidden="1" customWidth="1"/>
    <col min="15138" max="15143" width="2.44140625" style="433" hidden="1" customWidth="1"/>
    <col min="15144" max="15144" width="1.5546875" style="433" hidden="1" customWidth="1"/>
    <col min="15145" max="15360" width="2.5546875" style="433" hidden="1"/>
    <col min="15361" max="15361" width="1.5546875" style="433" hidden="1" customWidth="1"/>
    <col min="15362" max="15362" width="0.88671875" style="433" hidden="1" customWidth="1"/>
    <col min="15363" max="15378" width="2.5546875" style="433" hidden="1" customWidth="1"/>
    <col min="15379" max="15379" width="4" style="433" hidden="1" customWidth="1"/>
    <col min="15380" max="15383" width="2.5546875" style="433" hidden="1" customWidth="1"/>
    <col min="15384" max="15384" width="2.44140625" style="433" hidden="1" customWidth="1"/>
    <col min="15385" max="15388" width="2.5546875" style="433" hidden="1" customWidth="1"/>
    <col min="15389" max="15389" width="2.44140625" style="433" hidden="1" customWidth="1"/>
    <col min="15390" max="15393" width="2.5546875" style="433" hidden="1" customWidth="1"/>
    <col min="15394" max="15399" width="2.44140625" style="433" hidden="1" customWidth="1"/>
    <col min="15400" max="15400" width="1.5546875" style="433" hidden="1" customWidth="1"/>
    <col min="15401" max="15616" width="2.5546875" style="433" hidden="1"/>
    <col min="15617" max="15617" width="1.5546875" style="433" hidden="1" customWidth="1"/>
    <col min="15618" max="15618" width="0.88671875" style="433" hidden="1" customWidth="1"/>
    <col min="15619" max="15634" width="2.5546875" style="433" hidden="1" customWidth="1"/>
    <col min="15635" max="15635" width="4" style="433" hidden="1" customWidth="1"/>
    <col min="15636" max="15639" width="2.5546875" style="433" hidden="1" customWidth="1"/>
    <col min="15640" max="15640" width="2.44140625" style="433" hidden="1" customWidth="1"/>
    <col min="15641" max="15644" width="2.5546875" style="433" hidden="1" customWidth="1"/>
    <col min="15645" max="15645" width="2.44140625" style="433" hidden="1" customWidth="1"/>
    <col min="15646" max="15649" width="2.5546875" style="433" hidden="1" customWidth="1"/>
    <col min="15650" max="15655" width="2.44140625" style="433" hidden="1" customWidth="1"/>
    <col min="15656" max="15656" width="1.5546875" style="433" hidden="1" customWidth="1"/>
    <col min="15657" max="15872" width="2.5546875" style="433" hidden="1"/>
    <col min="15873" max="15873" width="1.5546875" style="433" hidden="1" customWidth="1"/>
    <col min="15874" max="15874" width="0.88671875" style="433" hidden="1" customWidth="1"/>
    <col min="15875" max="15890" width="2.5546875" style="433" hidden="1" customWidth="1"/>
    <col min="15891" max="15891" width="4" style="433" hidden="1" customWidth="1"/>
    <col min="15892" max="15895" width="2.5546875" style="433" hidden="1" customWidth="1"/>
    <col min="15896" max="15896" width="2.44140625" style="433" hidden="1" customWidth="1"/>
    <col min="15897" max="15900" width="2.5546875" style="433" hidden="1" customWidth="1"/>
    <col min="15901" max="15901" width="2.44140625" style="433" hidden="1" customWidth="1"/>
    <col min="15902" max="15905" width="2.5546875" style="433" hidden="1" customWidth="1"/>
    <col min="15906" max="15911" width="2.44140625" style="433" hidden="1" customWidth="1"/>
    <col min="15912" max="15912" width="1.5546875" style="433" hidden="1" customWidth="1"/>
    <col min="15913" max="16128" width="2.5546875" style="433" hidden="1"/>
    <col min="16129" max="16129" width="1.5546875" style="433" hidden="1" customWidth="1"/>
    <col min="16130" max="16130" width="0.88671875" style="433" hidden="1" customWidth="1"/>
    <col min="16131" max="16146" width="2.5546875" style="433" hidden="1" customWidth="1"/>
    <col min="16147" max="16147" width="4" style="433" hidden="1" customWidth="1"/>
    <col min="16148" max="16151" width="2.5546875" style="433" hidden="1" customWidth="1"/>
    <col min="16152" max="16152" width="2.44140625" style="433" hidden="1" customWidth="1"/>
    <col min="16153" max="16156" width="2.5546875" style="433" hidden="1" customWidth="1"/>
    <col min="16157" max="16157" width="2.44140625" style="433" hidden="1" customWidth="1"/>
    <col min="16158" max="16161" width="2.5546875" style="433" hidden="1" customWidth="1"/>
    <col min="16162" max="16167" width="2.44140625" style="433" hidden="1" customWidth="1"/>
    <col min="16168" max="16168" width="1.5546875" style="433" hidden="1" customWidth="1"/>
    <col min="16169" max="16384" width="2.5546875" style="433" hidden="1"/>
  </cols>
  <sheetData>
    <row r="1" spans="1:40" ht="12.9" customHeight="1">
      <c r="A1" s="2639" t="s">
        <v>1390</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row>
    <row r="2" spans="1:40" ht="12.9" customHeight="1" thickBo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row>
    <row r="3" spans="1:40" ht="12.9"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 customHeight="1">
      <c r="A4" s="435"/>
    </row>
    <row r="5" spans="1:40" ht="12.9" customHeight="1">
      <c r="A5" s="435" t="s">
        <v>320</v>
      </c>
      <c r="C5" s="435" t="s">
        <v>122</v>
      </c>
      <c r="F5" s="435"/>
    </row>
    <row r="6" spans="1:40" ht="12.9" customHeight="1">
      <c r="A6" s="435"/>
      <c r="C6" s="433" t="s">
        <v>1345</v>
      </c>
    </row>
    <row r="7" spans="1:40" ht="12.9"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DDA/QCT
Building(s)</v>
      </c>
      <c r="U7" s="2641"/>
      <c r="V7" s="2641"/>
      <c r="W7" s="2641"/>
      <c r="X7" s="2641"/>
      <c r="Y7" s="2641" t="str">
        <f>IF(T25=100%,"",'Sources and Basis Breakdown'!G2)</f>
        <v>30% PVC for New Const/
Rehabilitation
NON-DDA/
NON-QCT Building(s)</v>
      </c>
      <c r="Z7" s="2641"/>
      <c r="AA7" s="2641"/>
      <c r="AB7" s="2641"/>
      <c r="AC7" s="2641"/>
      <c r="AD7" s="2641" t="str">
        <f xml:space="preserve"> IF(T25=100%, 'Sources and Basis Breakdown'!J2,'Sources and Basis Breakdown'!I2)</f>
        <v>30% PVC for Acquisition
DDA/QCT Building(s)</v>
      </c>
      <c r="AE7" s="2641"/>
      <c r="AF7" s="2641"/>
      <c r="AG7" s="2641"/>
      <c r="AH7" s="2641"/>
      <c r="AI7" s="2641" t="str">
        <f>IF(T25=100%,"",'Sources and Basis Breakdown'!J2)</f>
        <v>30% PVC for Acquisition
NON-DDA/
NON-QCT Building(s)</v>
      </c>
      <c r="AJ7" s="2641"/>
      <c r="AK7" s="2641"/>
      <c r="AL7" s="2641"/>
      <c r="AM7" s="2641"/>
    </row>
    <row r="8" spans="1:40" ht="12.9"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2.9"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2.9"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2.9" customHeight="1">
      <c r="B11" s="2620" t="s">
        <v>376</v>
      </c>
      <c r="C11" s="2621"/>
      <c r="D11" s="2621"/>
      <c r="E11" s="2621"/>
      <c r="F11" s="2621"/>
      <c r="G11" s="2621"/>
      <c r="H11" s="2621"/>
      <c r="I11" s="2621"/>
      <c r="J11" s="2621"/>
      <c r="K11" s="2621"/>
      <c r="L11" s="2621"/>
      <c r="M11" s="2621"/>
      <c r="N11" s="2621"/>
      <c r="O11" s="2621"/>
      <c r="P11" s="2621"/>
      <c r="Q11" s="2621"/>
      <c r="R11" s="2621"/>
      <c r="S11" s="2622"/>
      <c r="T11" s="2642">
        <f>IF('Sources and Basis Breakdown'!F107=0,'Sources and Basis Breakdown'!E107,'Sources and Basis Breakdown'!F107)</f>
        <v>70699840</v>
      </c>
      <c r="U11" s="2643"/>
      <c r="V11" s="2643"/>
      <c r="W11" s="2643"/>
      <c r="X11" s="2643"/>
      <c r="Y11" s="2642">
        <f>IF(Y7="",0,IF('Sources and Basis Breakdown'!G107+'Sources and Basis Breakdown'!F107='Sources and Basis Breakdown'!E107,'Sources and Basis Breakdown'!G107,0))</f>
        <v>0</v>
      </c>
      <c r="Z11" s="2643"/>
      <c r="AA11" s="2643"/>
      <c r="AB11" s="2643"/>
      <c r="AC11" s="2643"/>
      <c r="AD11" s="2643">
        <f>IF('Sources and Basis Breakdown'!I107=0,'Sources and Basis Breakdown'!H107,'Sources and Basis Breakdown'!I107)</f>
        <v>0</v>
      </c>
      <c r="AE11" s="2643"/>
      <c r="AF11" s="2643"/>
      <c r="AG11" s="2643"/>
      <c r="AH11" s="2643"/>
      <c r="AI11" s="2643">
        <f>IF(Y7="",0,IF('Sources and Basis Breakdown'!I107+'Sources and Basis Breakdown'!J107='Sources and Basis Breakdown'!H107,'Sources and Basis Breakdown'!J107,0))</f>
        <v>0</v>
      </c>
      <c r="AJ11" s="2643"/>
      <c r="AK11" s="2643"/>
      <c r="AL11" s="2643"/>
      <c r="AM11" s="2643"/>
    </row>
    <row r="12" spans="1:40" ht="12.9" customHeight="1">
      <c r="B12" s="2635" t="s">
        <v>505</v>
      </c>
      <c r="C12" s="1287"/>
      <c r="D12" s="1287"/>
      <c r="E12" s="1287"/>
      <c r="F12" s="1287"/>
      <c r="G12" s="1287"/>
      <c r="H12" s="1287"/>
      <c r="I12" s="1287"/>
      <c r="J12" s="1287"/>
      <c r="K12" s="1287"/>
      <c r="L12" s="1287"/>
      <c r="M12" s="1287"/>
      <c r="N12" s="1287"/>
      <c r="O12" s="1287"/>
      <c r="P12" s="1287"/>
      <c r="Q12" s="1287"/>
      <c r="R12" s="1287"/>
      <c r="S12" s="2636"/>
      <c r="T12" s="2608"/>
      <c r="U12" s="2609"/>
      <c r="V12" s="2609"/>
      <c r="W12" s="2609"/>
      <c r="X12" s="2610"/>
      <c r="Y12" s="2608"/>
      <c r="Z12" s="2609"/>
      <c r="AA12" s="2609"/>
      <c r="AB12" s="2609"/>
      <c r="AC12" s="2610"/>
      <c r="AD12" s="2608"/>
      <c r="AE12" s="2609"/>
      <c r="AF12" s="2609"/>
      <c r="AG12" s="2609"/>
      <c r="AH12" s="2610"/>
      <c r="AI12" s="2608"/>
      <c r="AJ12" s="2609"/>
      <c r="AK12" s="2609"/>
      <c r="AL12" s="2609"/>
      <c r="AM12" s="2610"/>
    </row>
    <row r="13" spans="1:40" ht="12.9" customHeight="1">
      <c r="B13" s="467"/>
      <c r="C13" s="2637" t="s">
        <v>506</v>
      </c>
      <c r="D13" s="2637"/>
      <c r="E13" s="2637"/>
      <c r="F13" s="2637"/>
      <c r="G13" s="2637"/>
      <c r="H13" s="2637"/>
      <c r="I13" s="2637"/>
      <c r="J13" s="2637"/>
      <c r="K13" s="2637"/>
      <c r="L13" s="2637"/>
      <c r="M13" s="2637"/>
      <c r="N13" s="2637"/>
      <c r="O13" s="2637"/>
      <c r="P13" s="2637"/>
      <c r="Q13" s="2637"/>
      <c r="R13" s="2637"/>
      <c r="S13" s="2638"/>
      <c r="T13" s="2644"/>
      <c r="U13" s="2645"/>
      <c r="V13" s="2645"/>
      <c r="W13" s="2645"/>
      <c r="X13" s="2645"/>
      <c r="Y13" s="2644"/>
      <c r="Z13" s="2645"/>
      <c r="AA13" s="2645"/>
      <c r="AB13" s="2645"/>
      <c r="AC13" s="2645"/>
      <c r="AD13" s="2645"/>
      <c r="AE13" s="2645"/>
      <c r="AF13" s="2645"/>
      <c r="AG13" s="2645"/>
      <c r="AH13" s="2645"/>
      <c r="AI13" s="2645"/>
      <c r="AJ13" s="2645"/>
      <c r="AK13" s="2645"/>
      <c r="AL13" s="2645"/>
      <c r="AM13" s="2645"/>
    </row>
    <row r="14" spans="1:40" ht="12.9" customHeight="1">
      <c r="B14" s="467"/>
      <c r="C14" s="2637" t="s">
        <v>507</v>
      </c>
      <c r="D14" s="2637"/>
      <c r="E14" s="2637"/>
      <c r="F14" s="2637"/>
      <c r="G14" s="2637"/>
      <c r="H14" s="2637"/>
      <c r="I14" s="2637"/>
      <c r="J14" s="2637"/>
      <c r="K14" s="2637"/>
      <c r="L14" s="2637"/>
      <c r="M14" s="2637"/>
      <c r="N14" s="2637"/>
      <c r="O14" s="2637"/>
      <c r="P14" s="2637"/>
      <c r="Q14" s="2637"/>
      <c r="R14" s="2637"/>
      <c r="S14" s="2638"/>
      <c r="T14" s="2611"/>
      <c r="U14" s="2612"/>
      <c r="V14" s="2612"/>
      <c r="W14" s="2612"/>
      <c r="X14" s="2612"/>
      <c r="Y14" s="2611"/>
      <c r="Z14" s="2612"/>
      <c r="AA14" s="2612"/>
      <c r="AB14" s="2612"/>
      <c r="AC14" s="2612"/>
      <c r="AD14" s="2612"/>
      <c r="AE14" s="2612"/>
      <c r="AF14" s="2612"/>
      <c r="AG14" s="2612"/>
      <c r="AH14" s="2612"/>
      <c r="AI14" s="2612"/>
      <c r="AJ14" s="2612"/>
      <c r="AK14" s="2612"/>
      <c r="AL14" s="2612"/>
      <c r="AM14" s="2612"/>
    </row>
    <row r="15" spans="1:40" ht="12.9" customHeight="1">
      <c r="B15" s="467"/>
      <c r="C15" s="2637" t="s">
        <v>508</v>
      </c>
      <c r="D15" s="2637"/>
      <c r="E15" s="2637"/>
      <c r="F15" s="2637"/>
      <c r="G15" s="2637"/>
      <c r="H15" s="2637"/>
      <c r="I15" s="2637"/>
      <c r="J15" s="2637"/>
      <c r="K15" s="2637"/>
      <c r="L15" s="2637"/>
      <c r="M15" s="2637"/>
      <c r="N15" s="2637"/>
      <c r="O15" s="2637"/>
      <c r="P15" s="2637"/>
      <c r="Q15" s="2637"/>
      <c r="R15" s="2637"/>
      <c r="S15" s="2638"/>
      <c r="T15" s="2611"/>
      <c r="U15" s="2612"/>
      <c r="V15" s="2612"/>
      <c r="W15" s="2612"/>
      <c r="X15" s="2612"/>
      <c r="Y15" s="2611"/>
      <c r="Z15" s="2612"/>
      <c r="AA15" s="2612"/>
      <c r="AB15" s="2612"/>
      <c r="AC15" s="2612"/>
      <c r="AD15" s="2612"/>
      <c r="AE15" s="2612"/>
      <c r="AF15" s="2612"/>
      <c r="AG15" s="2612"/>
      <c r="AH15" s="2612"/>
      <c r="AI15" s="2612"/>
      <c r="AJ15" s="2612"/>
      <c r="AK15" s="2612"/>
      <c r="AL15" s="2612"/>
      <c r="AM15" s="2612"/>
    </row>
    <row r="16" spans="1:40" ht="12.9" customHeight="1">
      <c r="B16" s="467"/>
      <c r="C16" s="2637" t="s">
        <v>814</v>
      </c>
      <c r="D16" s="2637"/>
      <c r="E16" s="2637"/>
      <c r="F16" s="2637"/>
      <c r="G16" s="2637"/>
      <c r="H16" s="2637"/>
      <c r="I16" s="2637"/>
      <c r="J16" s="2637"/>
      <c r="K16" s="2637"/>
      <c r="L16" s="2637"/>
      <c r="M16" s="2637"/>
      <c r="N16" s="2637"/>
      <c r="O16" s="2637"/>
      <c r="P16" s="2637"/>
      <c r="Q16" s="2637"/>
      <c r="R16" s="2637"/>
      <c r="S16" s="2638"/>
      <c r="T16" s="2611"/>
      <c r="U16" s="2612"/>
      <c r="V16" s="2612"/>
      <c r="W16" s="2612"/>
      <c r="X16" s="2612"/>
      <c r="Y16" s="2611"/>
      <c r="Z16" s="2612"/>
      <c r="AA16" s="2612"/>
      <c r="AB16" s="2612"/>
      <c r="AC16" s="2612"/>
      <c r="AD16" s="2612"/>
      <c r="AE16" s="2612"/>
      <c r="AF16" s="2612"/>
      <c r="AG16" s="2612"/>
      <c r="AH16" s="2612"/>
      <c r="AI16" s="2612"/>
      <c r="AJ16" s="2612"/>
      <c r="AK16" s="2612"/>
      <c r="AL16" s="2612"/>
      <c r="AM16" s="2612"/>
    </row>
    <row r="17" spans="1:40" ht="12.9" customHeight="1">
      <c r="B17" s="467"/>
      <c r="C17" s="2637" t="s">
        <v>509</v>
      </c>
      <c r="D17" s="2637"/>
      <c r="E17" s="2637"/>
      <c r="F17" s="2637"/>
      <c r="G17" s="2637"/>
      <c r="H17" s="2637"/>
      <c r="I17" s="2637"/>
      <c r="J17" s="2637"/>
      <c r="K17" s="2637"/>
      <c r="L17" s="2637"/>
      <c r="M17" s="2637"/>
      <c r="N17" s="2637"/>
      <c r="O17" s="2637"/>
      <c r="P17" s="2637"/>
      <c r="Q17" s="2637"/>
      <c r="R17" s="2637"/>
      <c r="S17" s="2638"/>
      <c r="T17" s="2611"/>
      <c r="U17" s="2612"/>
      <c r="V17" s="2612"/>
      <c r="W17" s="2612"/>
      <c r="X17" s="2612"/>
      <c r="Y17" s="2611"/>
      <c r="Z17" s="2612"/>
      <c r="AA17" s="2612"/>
      <c r="AB17" s="2612"/>
      <c r="AC17" s="2612"/>
      <c r="AD17" s="2612"/>
      <c r="AE17" s="2612"/>
      <c r="AF17" s="2612"/>
      <c r="AG17" s="2612"/>
      <c r="AH17" s="2612"/>
      <c r="AI17" s="2612"/>
      <c r="AJ17" s="2612"/>
      <c r="AK17" s="2612"/>
      <c r="AL17" s="2612"/>
      <c r="AM17" s="2612"/>
    </row>
    <row r="18" spans="1:40" ht="12.9" customHeight="1">
      <c r="A18"/>
      <c r="B18" s="1194"/>
      <c r="C18" s="1689" t="s">
        <v>979</v>
      </c>
      <c r="D18" s="1689"/>
      <c r="E18" s="1689"/>
      <c r="F18" s="1689"/>
      <c r="G18" s="1689"/>
      <c r="H18" s="1689"/>
      <c r="I18" s="1689"/>
      <c r="J18" s="1689"/>
      <c r="K18" s="1689"/>
      <c r="L18" s="1689"/>
      <c r="M18" s="1689"/>
      <c r="N18" s="1689"/>
      <c r="O18" s="1689"/>
      <c r="P18" s="1689"/>
      <c r="Q18" s="1689"/>
      <c r="R18" s="1689"/>
      <c r="S18" s="1690"/>
      <c r="T18" s="2611"/>
      <c r="U18" s="2612"/>
      <c r="V18" s="2612"/>
      <c r="W18" s="2612"/>
      <c r="X18" s="2612"/>
      <c r="Y18" s="2611"/>
      <c r="Z18" s="2612"/>
      <c r="AA18" s="2612"/>
      <c r="AB18" s="2612"/>
      <c r="AC18" s="2612"/>
      <c r="AD18" s="2612"/>
      <c r="AE18" s="2612"/>
      <c r="AF18" s="2612"/>
      <c r="AG18" s="2612"/>
      <c r="AH18" s="2612"/>
      <c r="AI18" s="2612"/>
      <c r="AJ18" s="2612"/>
      <c r="AK18" s="2612"/>
      <c r="AL18" s="2612"/>
      <c r="AM18" s="2612"/>
    </row>
    <row r="19" spans="1:40" ht="12.9" customHeight="1">
      <c r="B19" s="1194"/>
      <c r="C19" s="1689" t="s">
        <v>979</v>
      </c>
      <c r="D19" s="1689"/>
      <c r="E19" s="1689"/>
      <c r="F19" s="1689"/>
      <c r="G19" s="1689"/>
      <c r="H19" s="1689"/>
      <c r="I19" s="1689"/>
      <c r="J19" s="1689"/>
      <c r="K19" s="1689"/>
      <c r="L19" s="1689"/>
      <c r="M19" s="1689"/>
      <c r="N19" s="1689"/>
      <c r="O19" s="1689"/>
      <c r="P19" s="1689"/>
      <c r="Q19" s="1689"/>
      <c r="R19" s="1689"/>
      <c r="S19" s="1690"/>
      <c r="T19" s="2611"/>
      <c r="U19" s="2612"/>
      <c r="V19" s="2612"/>
      <c r="W19" s="2612"/>
      <c r="X19" s="2612"/>
      <c r="Y19" s="2611"/>
      <c r="Z19" s="2612"/>
      <c r="AA19" s="2612"/>
      <c r="AB19" s="2612"/>
      <c r="AC19" s="2612"/>
      <c r="AD19" s="2612"/>
      <c r="AE19" s="2612"/>
      <c r="AF19" s="2612"/>
      <c r="AG19" s="2612"/>
      <c r="AH19" s="2612"/>
      <c r="AI19" s="2612"/>
      <c r="AJ19" s="2612"/>
      <c r="AK19" s="2612"/>
      <c r="AL19" s="2612"/>
      <c r="AM19" s="2612"/>
    </row>
    <row r="20" spans="1:40" ht="12.9" customHeight="1">
      <c r="B20" s="2620" t="s">
        <v>510</v>
      </c>
      <c r="C20" s="2621"/>
      <c r="D20" s="2621"/>
      <c r="E20" s="2621"/>
      <c r="F20" s="2621"/>
      <c r="G20" s="2621"/>
      <c r="H20" s="2621"/>
      <c r="I20" s="2621"/>
      <c r="J20" s="2621"/>
      <c r="K20" s="2621"/>
      <c r="L20" s="2621"/>
      <c r="M20" s="2621"/>
      <c r="N20" s="2621"/>
      <c r="O20" s="2621"/>
      <c r="P20" s="2621"/>
      <c r="Q20" s="2621"/>
      <c r="R20" s="2621"/>
      <c r="S20" s="2622"/>
      <c r="T20" s="2613">
        <f>SUM(T13:X19)</f>
        <v>0</v>
      </c>
      <c r="U20" s="2614"/>
      <c r="V20" s="2614"/>
      <c r="W20" s="2614"/>
      <c r="X20" s="2614"/>
      <c r="Y20" s="2613">
        <f>SUM(Y13:AC19)</f>
        <v>0</v>
      </c>
      <c r="Z20" s="2614"/>
      <c r="AA20" s="2614"/>
      <c r="AB20" s="2614"/>
      <c r="AC20" s="2614"/>
      <c r="AD20" s="2615">
        <f>SUM(AD13:AH19)</f>
        <v>0</v>
      </c>
      <c r="AE20" s="2616"/>
      <c r="AF20" s="2616"/>
      <c r="AG20" s="2616"/>
      <c r="AH20" s="2613"/>
      <c r="AI20" s="2615">
        <f>SUM(AI13:AM19)</f>
        <v>0</v>
      </c>
      <c r="AJ20" s="2616"/>
      <c r="AK20" s="2616"/>
      <c r="AL20" s="2616"/>
      <c r="AM20" s="2613"/>
    </row>
    <row r="21" spans="1:40" ht="12.9" customHeight="1">
      <c r="B21" s="2620" t="s">
        <v>1373</v>
      </c>
      <c r="C21" s="2621"/>
      <c r="D21" s="2621"/>
      <c r="E21" s="2621"/>
      <c r="F21" s="2621"/>
      <c r="G21" s="2621"/>
      <c r="H21" s="2621"/>
      <c r="I21" s="2621"/>
      <c r="J21" s="2621"/>
      <c r="K21" s="2621"/>
      <c r="L21" s="2621"/>
      <c r="M21" s="2621"/>
      <c r="N21" s="2621"/>
      <c r="O21" s="2621"/>
      <c r="P21" s="2621"/>
      <c r="Q21" s="2621"/>
      <c r="R21" s="2621"/>
      <c r="S21" s="2622"/>
      <c r="T21" s="2611"/>
      <c r="U21" s="2612"/>
      <c r="V21" s="2612"/>
      <c r="W21" s="2612"/>
      <c r="X21" s="2612"/>
      <c r="Y21" s="2611"/>
      <c r="Z21" s="2612"/>
      <c r="AA21" s="2612"/>
      <c r="AB21" s="2612"/>
      <c r="AC21" s="2612"/>
      <c r="AD21" s="2608"/>
      <c r="AE21" s="2609"/>
      <c r="AF21" s="2609"/>
      <c r="AG21" s="2609"/>
      <c r="AH21" s="2610"/>
      <c r="AI21" s="2608"/>
      <c r="AJ21" s="2609"/>
      <c r="AK21" s="2609"/>
      <c r="AL21" s="2609"/>
      <c r="AM21" s="2610"/>
    </row>
    <row r="22" spans="1:40" ht="12.9" customHeight="1">
      <c r="B22" s="2620" t="s">
        <v>511</v>
      </c>
      <c r="C22" s="2621"/>
      <c r="D22" s="2621"/>
      <c r="E22" s="2621"/>
      <c r="F22" s="2621"/>
      <c r="G22" s="2621"/>
      <c r="H22" s="2621"/>
      <c r="I22" s="2621"/>
      <c r="J22" s="2621"/>
      <c r="K22" s="2621"/>
      <c r="L22" s="2621"/>
      <c r="M22" s="2621"/>
      <c r="N22" s="2621"/>
      <c r="O22" s="2621"/>
      <c r="P22" s="2621"/>
      <c r="Q22" s="2621"/>
      <c r="R22" s="2621"/>
      <c r="S22" s="2622"/>
      <c r="T22" s="2646">
        <f>(ABS(T20)+ABS(T21))*-1</f>
        <v>0</v>
      </c>
      <c r="U22" s="2647"/>
      <c r="V22" s="2647"/>
      <c r="W22" s="2647"/>
      <c r="X22" s="2647"/>
      <c r="Y22" s="2646">
        <f>(Y20+Y21)*-1</f>
        <v>0</v>
      </c>
      <c r="Z22" s="2647"/>
      <c r="AA22" s="2647"/>
      <c r="AB22" s="2647"/>
      <c r="AC22" s="2647"/>
      <c r="AD22" s="2648">
        <f>(AD20)*-1</f>
        <v>0</v>
      </c>
      <c r="AE22" s="2649"/>
      <c r="AF22" s="2649"/>
      <c r="AG22" s="2649"/>
      <c r="AH22" s="2646"/>
      <c r="AI22" s="2648">
        <f>(AI20)*-1</f>
        <v>0</v>
      </c>
      <c r="AJ22" s="2649"/>
      <c r="AK22" s="2649"/>
      <c r="AL22" s="2649"/>
      <c r="AM22" s="2646"/>
    </row>
    <row r="23" spans="1:40" ht="12.9" customHeight="1">
      <c r="B23" s="2620" t="s">
        <v>512</v>
      </c>
      <c r="C23" s="2621"/>
      <c r="D23" s="2621"/>
      <c r="E23" s="2621"/>
      <c r="F23" s="2621"/>
      <c r="G23" s="2621"/>
      <c r="H23" s="2621"/>
      <c r="I23" s="2621"/>
      <c r="J23" s="2621"/>
      <c r="K23" s="2621"/>
      <c r="L23" s="2621"/>
      <c r="M23" s="2621"/>
      <c r="N23" s="2621"/>
      <c r="O23" s="2621"/>
      <c r="P23" s="2621"/>
      <c r="Q23" s="2621"/>
      <c r="R23" s="2621"/>
      <c r="S23" s="2622"/>
      <c r="T23" s="2613">
        <f>T11+T22</f>
        <v>70699840</v>
      </c>
      <c r="U23" s="2614"/>
      <c r="V23" s="2614"/>
      <c r="W23" s="2614"/>
      <c r="X23" s="2614"/>
      <c r="Y23" s="2613">
        <f>Y11+Y22</f>
        <v>0</v>
      </c>
      <c r="Z23" s="2614"/>
      <c r="AA23" s="2614"/>
      <c r="AB23" s="2614"/>
      <c r="AC23" s="2614"/>
      <c r="AD23" s="2613">
        <f>AD11+AD22</f>
        <v>0</v>
      </c>
      <c r="AE23" s="2614"/>
      <c r="AF23" s="2614"/>
      <c r="AG23" s="2614"/>
      <c r="AH23" s="2614"/>
      <c r="AI23" s="2613">
        <f>AI11+AI22</f>
        <v>0</v>
      </c>
      <c r="AJ23" s="2614"/>
      <c r="AK23" s="2614"/>
      <c r="AL23" s="2614"/>
      <c r="AM23" s="2614"/>
    </row>
    <row r="24" spans="1:40" ht="12.9" customHeight="1">
      <c r="B24" s="2620" t="s">
        <v>980</v>
      </c>
      <c r="C24" s="2621"/>
      <c r="D24" s="2621"/>
      <c r="E24" s="2621"/>
      <c r="F24" s="2621"/>
      <c r="G24" s="2621"/>
      <c r="H24" s="2621"/>
      <c r="I24" s="2621"/>
      <c r="J24" s="2621"/>
      <c r="K24" s="2621"/>
      <c r="L24" s="2621"/>
      <c r="M24" s="2621"/>
      <c r="N24" s="2621"/>
      <c r="O24" s="2621"/>
      <c r="P24" s="2621"/>
      <c r="Q24" s="2621"/>
      <c r="R24" s="2621"/>
      <c r="S24" s="2622"/>
      <c r="T24" s="2615">
        <f>Application!AJ1052</f>
        <v>143817457.35999998</v>
      </c>
      <c r="U24" s="2616"/>
      <c r="V24" s="2616"/>
      <c r="W24" s="2616"/>
      <c r="X24" s="2616"/>
      <c r="Y24" s="2616"/>
      <c r="Z24" s="2616"/>
      <c r="AA24" s="2616"/>
      <c r="AB24" s="2616"/>
      <c r="AC24" s="2616"/>
      <c r="AD24" s="2616"/>
      <c r="AE24" s="2616"/>
      <c r="AF24" s="2616"/>
      <c r="AG24" s="2616"/>
      <c r="AH24" s="2616"/>
      <c r="AI24" s="2616"/>
      <c r="AJ24" s="2616"/>
      <c r="AK24" s="2616"/>
      <c r="AL24" s="2616"/>
      <c r="AM24" s="2613"/>
    </row>
    <row r="25" spans="1:40" ht="12.9" customHeight="1">
      <c r="B25" s="2624" t="s">
        <v>1374</v>
      </c>
      <c r="C25" s="2625"/>
      <c r="D25" s="2625"/>
      <c r="E25" s="2625"/>
      <c r="F25" s="2625"/>
      <c r="G25" s="2625"/>
      <c r="H25" s="2625"/>
      <c r="I25" s="2625"/>
      <c r="J25" s="2625"/>
      <c r="K25" s="2625"/>
      <c r="L25" s="2625"/>
      <c r="M25" s="2625"/>
      <c r="N25" s="2625"/>
      <c r="O25" s="2625"/>
      <c r="P25" s="2625"/>
      <c r="Q25" s="2625"/>
      <c r="R25" s="2625"/>
      <c r="S25" s="2626"/>
      <c r="T25" s="2650">
        <f>IF(OR(Application!T196="yes",Application!T195="yes"),1.3,1)</f>
        <v>1.3</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 customHeight="1">
      <c r="B26" s="2620" t="s">
        <v>513</v>
      </c>
      <c r="C26" s="2621"/>
      <c r="D26" s="2621"/>
      <c r="E26" s="2621"/>
      <c r="F26" s="2621"/>
      <c r="G26" s="2621"/>
      <c r="H26" s="2621"/>
      <c r="I26" s="2621"/>
      <c r="J26" s="2621"/>
      <c r="K26" s="2621"/>
      <c r="L26" s="2621"/>
      <c r="M26" s="2621"/>
      <c r="N26" s="2621"/>
      <c r="O26" s="2621"/>
      <c r="P26" s="2621"/>
      <c r="Q26" s="2621"/>
      <c r="R26" s="2621"/>
      <c r="S26" s="2622"/>
      <c r="T26" s="2613">
        <f>T23*T25</f>
        <v>91909792</v>
      </c>
      <c r="U26" s="2614"/>
      <c r="V26" s="2614"/>
      <c r="W26" s="2614"/>
      <c r="X26" s="2614"/>
      <c r="Y26" s="2613">
        <f>Y23*Y25</f>
        <v>0</v>
      </c>
      <c r="Z26" s="2614"/>
      <c r="AA26" s="2614"/>
      <c r="AB26" s="2614"/>
      <c r="AC26" s="2614"/>
      <c r="AD26" s="2613">
        <f>AD23*AD25</f>
        <v>0</v>
      </c>
      <c r="AE26" s="2614"/>
      <c r="AF26" s="2614"/>
      <c r="AG26" s="2614"/>
      <c r="AH26" s="2614"/>
      <c r="AI26" s="2613">
        <f>AI23*AI25</f>
        <v>0</v>
      </c>
      <c r="AJ26" s="2614"/>
      <c r="AK26" s="2614"/>
      <c r="AL26" s="2614"/>
      <c r="AM26" s="2614"/>
    </row>
    <row r="27" spans="1:40" ht="12.9" customHeight="1">
      <c r="A27" s="441"/>
      <c r="B27" s="2627" t="s">
        <v>427</v>
      </c>
      <c r="C27" s="2628"/>
      <c r="D27" s="2628"/>
      <c r="E27" s="2628"/>
      <c r="F27" s="2628"/>
      <c r="G27" s="2628"/>
      <c r="H27" s="2628"/>
      <c r="I27" s="2628"/>
      <c r="J27" s="2628"/>
      <c r="K27" s="2628"/>
      <c r="L27" s="2628"/>
      <c r="M27" s="2628"/>
      <c r="N27" s="2628"/>
      <c r="O27" s="2628"/>
      <c r="P27" s="2628"/>
      <c r="Q27" s="2628"/>
      <c r="R27" s="2628"/>
      <c r="S27" s="2629"/>
      <c r="T27" s="2633">
        <f>Application!$AG$445</f>
        <v>1</v>
      </c>
      <c r="U27" s="2634"/>
      <c r="V27" s="2634"/>
      <c r="W27" s="2634"/>
      <c r="X27" s="2634"/>
      <c r="Y27" s="2633">
        <f>Application!$AG$445</f>
        <v>1</v>
      </c>
      <c r="Z27" s="2634"/>
      <c r="AA27" s="2634"/>
      <c r="AB27" s="2634"/>
      <c r="AC27" s="2634"/>
      <c r="AD27" s="2633">
        <f>Application!$AG$445</f>
        <v>1</v>
      </c>
      <c r="AE27" s="2634"/>
      <c r="AF27" s="2634"/>
      <c r="AG27" s="2634"/>
      <c r="AH27" s="2634"/>
      <c r="AI27" s="2633">
        <f>Application!$AG$445</f>
        <v>1</v>
      </c>
      <c r="AJ27" s="2634"/>
      <c r="AK27" s="2634"/>
      <c r="AL27" s="2634"/>
      <c r="AM27" s="2634"/>
    </row>
    <row r="28" spans="1:40" ht="12.9" customHeight="1">
      <c r="A28" s="435"/>
      <c r="B28" s="2620" t="s">
        <v>514</v>
      </c>
      <c r="C28" s="2621"/>
      <c r="D28" s="2621"/>
      <c r="E28" s="2621"/>
      <c r="F28" s="2621"/>
      <c r="G28" s="2621"/>
      <c r="H28" s="2621"/>
      <c r="I28" s="2621"/>
      <c r="J28" s="2621"/>
      <c r="K28" s="2621"/>
      <c r="L28" s="2621"/>
      <c r="M28" s="2621"/>
      <c r="N28" s="2621"/>
      <c r="O28" s="2621"/>
      <c r="P28" s="2621"/>
      <c r="Q28" s="2621"/>
      <c r="R28" s="2621"/>
      <c r="S28" s="2622"/>
      <c r="T28" s="2613">
        <f>IF(ISERROR((T26*T27)),0,(T26*T27))</f>
        <v>91909792</v>
      </c>
      <c r="U28" s="2614"/>
      <c r="V28" s="2614"/>
      <c r="W28" s="2614"/>
      <c r="X28" s="2614"/>
      <c r="Y28" s="2613">
        <f>IF(ISERROR((Y26*Y27)),0,(Y26*Y27))</f>
        <v>0</v>
      </c>
      <c r="Z28" s="2614"/>
      <c r="AA28" s="2614"/>
      <c r="AB28" s="2614"/>
      <c r="AC28" s="2614"/>
      <c r="AD28" s="2613">
        <f>IF(ISERROR((AD26*AD27)),0,(AD26*AD27))</f>
        <v>0</v>
      </c>
      <c r="AE28" s="2614"/>
      <c r="AF28" s="2614"/>
      <c r="AG28" s="2614"/>
      <c r="AH28" s="2614"/>
      <c r="AI28" s="2613">
        <f>IF(ISERROR((AI26*AI27)),0,(AI26*AI27))</f>
        <v>0</v>
      </c>
      <c r="AJ28" s="2614"/>
      <c r="AK28" s="2614"/>
      <c r="AL28" s="2614"/>
      <c r="AM28" s="2614"/>
    </row>
    <row r="29" spans="1:40" ht="12.9" customHeight="1">
      <c r="B29" s="2620" t="s">
        <v>531</v>
      </c>
      <c r="C29" s="2621"/>
      <c r="D29" s="2621"/>
      <c r="E29" s="2621"/>
      <c r="F29" s="2621"/>
      <c r="G29" s="2621"/>
      <c r="H29" s="2621"/>
      <c r="I29" s="2621"/>
      <c r="J29" s="2621"/>
      <c r="K29" s="2621"/>
      <c r="L29" s="2621"/>
      <c r="M29" s="2621"/>
      <c r="N29" s="2621"/>
      <c r="O29" s="2621"/>
      <c r="P29" s="2621"/>
      <c r="Q29" s="2621"/>
      <c r="R29" s="2621"/>
      <c r="S29" s="2622"/>
      <c r="T29" s="2615">
        <f>T28+Y28+AD28+AI28</f>
        <v>91909792</v>
      </c>
      <c r="U29" s="2616"/>
      <c r="V29" s="2616"/>
      <c r="W29" s="2616"/>
      <c r="X29" s="2616"/>
      <c r="Y29" s="2616"/>
      <c r="Z29" s="2616"/>
      <c r="AA29" s="2616"/>
      <c r="AB29" s="2616"/>
      <c r="AC29" s="2616"/>
      <c r="AD29" s="2616"/>
      <c r="AE29" s="2616"/>
      <c r="AF29" s="2616"/>
      <c r="AG29" s="2616"/>
      <c r="AH29" s="2616"/>
      <c r="AI29" s="2616"/>
      <c r="AJ29" s="2616"/>
      <c r="AK29" s="2616"/>
      <c r="AL29" s="2616"/>
      <c r="AM29" s="2613"/>
    </row>
    <row r="30" spans="1:40" ht="12.9" customHeight="1">
      <c r="B30" s="2623" t="s">
        <v>1376</v>
      </c>
      <c r="C30" s="2623"/>
      <c r="D30" s="2623"/>
      <c r="E30" s="2623"/>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3"/>
      <c r="AK30" s="2623"/>
      <c r="AL30" s="2623"/>
      <c r="AM30" s="2623"/>
    </row>
    <row r="31" spans="1:40" ht="12.9" customHeight="1">
      <c r="B31" s="2623" t="s">
        <v>1375</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552"/>
    </row>
    <row r="32" spans="1:40" ht="12.9"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 customHeight="1">
      <c r="A34" s="435" t="s">
        <v>584</v>
      </c>
      <c r="C34" s="435" t="s">
        <v>576</v>
      </c>
    </row>
    <row r="35" spans="1:76" ht="12.9"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1256</v>
      </c>
      <c r="Z35" s="2641"/>
      <c r="AA35" s="2641"/>
      <c r="AB35" s="2641"/>
      <c r="AC35" s="2641"/>
      <c r="AD35" s="2664" t="s">
        <v>370</v>
      </c>
      <c r="AE35" s="2664"/>
      <c r="AF35" s="2664"/>
      <c r="AG35" s="2664"/>
      <c r="AH35" s="2664"/>
    </row>
    <row r="36" spans="1:76" ht="12.9" customHeight="1">
      <c r="B36" s="438"/>
      <c r="X36" s="443"/>
      <c r="Y36" s="2641"/>
      <c r="Z36" s="2641"/>
      <c r="AA36" s="2641"/>
      <c r="AB36" s="2641"/>
      <c r="AC36" s="2641"/>
      <c r="AD36" s="2664"/>
      <c r="AE36" s="2664"/>
      <c r="AF36" s="2664"/>
      <c r="AG36" s="2664"/>
      <c r="AH36" s="2664"/>
    </row>
    <row r="37" spans="1:76" ht="12.9"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64"/>
      <c r="AE37" s="2664"/>
      <c r="AF37" s="2664"/>
      <c r="AG37" s="2664"/>
      <c r="AH37" s="2664"/>
    </row>
    <row r="38" spans="1:76" ht="12.9" customHeight="1">
      <c r="A38" s="435"/>
      <c r="B38" s="2620" t="s">
        <v>514</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91909792</v>
      </c>
      <c r="Z38" s="2614"/>
      <c r="AA38" s="2614"/>
      <c r="AB38" s="2614"/>
      <c r="AC38" s="2614"/>
      <c r="AD38" s="2614">
        <f>IF(T24&gt;=(T23+Y23+AD23+AI23),AD28+AI28,0)</f>
        <v>0</v>
      </c>
      <c r="AE38" s="2614"/>
      <c r="AF38" s="2614"/>
      <c r="AG38" s="2614"/>
      <c r="AH38" s="2614"/>
    </row>
    <row r="39" spans="1:76" ht="12.9" customHeight="1">
      <c r="B39" s="2620" t="s">
        <v>1878</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65">
        <v>0.04</v>
      </c>
      <c r="Z39" s="2665"/>
      <c r="AA39" s="2665"/>
      <c r="AB39" s="2665"/>
      <c r="AC39" s="2665"/>
      <c r="AD39" s="2665">
        <v>0.04</v>
      </c>
      <c r="AE39" s="2665"/>
      <c r="AF39" s="2665"/>
      <c r="AG39" s="2665"/>
      <c r="AH39" s="2665"/>
    </row>
    <row r="40" spans="1:76" ht="12.9" customHeight="1">
      <c r="A40" s="435"/>
      <c r="B40" s="2620" t="s">
        <v>650</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3676392</v>
      </c>
      <c r="Z40" s="2614"/>
      <c r="AA40" s="2614"/>
      <c r="AB40" s="2614"/>
      <c r="AC40" s="2614"/>
      <c r="AD40" s="2613">
        <f>ROUND(AD38*AD39,0)</f>
        <v>0</v>
      </c>
      <c r="AE40" s="2614"/>
      <c r="AF40" s="2614"/>
      <c r="AG40" s="2614"/>
      <c r="AH40" s="2614"/>
    </row>
    <row r="41" spans="1:76" ht="12.9" customHeight="1">
      <c r="B41" s="2620" t="s">
        <v>651</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15">
        <f>Y40+AD40</f>
        <v>3676392</v>
      </c>
      <c r="Z41" s="2616"/>
      <c r="AA41" s="2616"/>
      <c r="AB41" s="2616"/>
      <c r="AC41" s="2616"/>
      <c r="AD41" s="2616"/>
      <c r="AE41" s="2616"/>
      <c r="AF41" s="2616"/>
      <c r="AG41" s="2616"/>
      <c r="AH41" s="2613"/>
    </row>
    <row r="42" spans="1:76" ht="12.9"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 customHeight="1" thickBot="1">
      <c r="A44" s="2618" t="s">
        <v>1386</v>
      </c>
      <c r="B44" s="2618"/>
      <c r="C44" s="2618"/>
      <c r="D44" s="2618"/>
      <c r="E44" s="2618"/>
      <c r="F44" s="2618"/>
      <c r="G44" s="2618"/>
      <c r="H44" s="2618"/>
      <c r="I44" s="2618"/>
      <c r="J44" s="2618"/>
      <c r="K44" s="2618"/>
      <c r="L44" s="2618"/>
      <c r="M44" s="2618"/>
      <c r="N44" s="2618"/>
      <c r="O44" s="2618"/>
      <c r="P44" s="2618"/>
      <c r="Q44" s="2618"/>
      <c r="R44" s="2618"/>
      <c r="S44" s="2618"/>
      <c r="T44" s="2618"/>
      <c r="U44" s="2618"/>
      <c r="V44" s="2618"/>
      <c r="W44" s="2618"/>
      <c r="X44" s="2618"/>
      <c r="Y44" s="2618"/>
      <c r="Z44" s="2618"/>
      <c r="AA44" s="2618"/>
      <c r="AB44" s="2618"/>
      <c r="AC44" s="2618"/>
      <c r="AD44" s="2618"/>
      <c r="AE44" s="2618"/>
      <c r="AF44" s="2618"/>
      <c r="AG44" s="2618"/>
      <c r="AH44" s="2618"/>
      <c r="AI44" s="2618"/>
      <c r="AJ44" s="2618"/>
      <c r="AK44" s="2618"/>
      <c r="AL44" s="2618"/>
      <c r="AM44" s="2618"/>
      <c r="AN44" s="2618"/>
      <c r="AO44" s="2618"/>
      <c r="AP44" s="2618"/>
      <c r="AQ44" s="2618"/>
      <c r="AR44" s="2618"/>
      <c r="AS44" s="2618"/>
      <c r="AT44" s="2618"/>
      <c r="AU44" s="2618"/>
      <c r="AV44" s="2618"/>
      <c r="AW44" s="2618"/>
      <c r="AX44" s="2618"/>
      <c r="AY44" s="2618"/>
      <c r="AZ44" s="2618"/>
      <c r="BA44" s="2618"/>
      <c r="BB44" s="2618"/>
      <c r="BC44" s="2618"/>
      <c r="BD44" s="2618"/>
      <c r="BE44" s="2618"/>
      <c r="BF44" s="2618"/>
      <c r="BG44" s="2618"/>
      <c r="BH44" s="2618"/>
      <c r="BI44" s="2618"/>
      <c r="BJ44" s="2618"/>
      <c r="BK44" s="2618"/>
      <c r="BL44" s="2618"/>
      <c r="BM44" s="2618"/>
      <c r="BN44" s="2618"/>
      <c r="BO44" s="2618"/>
      <c r="BP44" s="2618"/>
      <c r="BQ44" s="2618"/>
      <c r="BR44" s="2618"/>
      <c r="BS44" s="2618"/>
      <c r="BT44" s="2618"/>
      <c r="BU44" s="2618"/>
      <c r="BV44" s="2618"/>
      <c r="BW44" s="2618"/>
      <c r="BX44" s="2618"/>
    </row>
    <row r="45" spans="1:76" s="218" customFormat="1" ht="12.9" customHeight="1" thickTop="1"/>
    <row r="46" spans="1:76" ht="12.9" customHeight="1">
      <c r="A46" s="435" t="s">
        <v>594</v>
      </c>
      <c r="C46" s="435" t="s">
        <v>283</v>
      </c>
    </row>
    <row r="47" spans="1:76" ht="12.9" customHeight="1">
      <c r="D47" s="435" t="s">
        <v>284</v>
      </c>
      <c r="AB47" s="2630">
        <f>'Sources and Uses Budget'!B105-MAX(IF('Sources and Uses Budget'!B15="",0,'Sources and Uses Budget'!B15),IF(Application!AG394="",0,Application!AG394))</f>
        <v>79958261</v>
      </c>
      <c r="AC47" s="2631"/>
      <c r="AD47" s="2631"/>
      <c r="AE47" s="2631"/>
      <c r="AF47" s="2632"/>
    </row>
    <row r="48" spans="1:76" ht="12.9" customHeight="1">
      <c r="D48" s="435" t="s">
        <v>21</v>
      </c>
      <c r="AB48" s="2630">
        <f>Application!AO639-MAX(IF('Sources and Uses Budget'!B15="",0,'Sources and Uses Budget'!B15),IF(Application!AG394="",0,Application!AG394))</f>
        <v>48058261</v>
      </c>
      <c r="AC48" s="2631"/>
      <c r="AD48" s="2631"/>
      <c r="AE48" s="2631"/>
      <c r="AF48" s="2632"/>
    </row>
    <row r="49" spans="1:76" ht="12.9" customHeight="1">
      <c r="D49" s="435" t="s">
        <v>91</v>
      </c>
      <c r="AB49" s="2630">
        <f>AB47-AB48</f>
        <v>31900000</v>
      </c>
      <c r="AC49" s="2631"/>
      <c r="AD49" s="2631"/>
      <c r="AE49" s="2631"/>
      <c r="AF49" s="2632"/>
    </row>
    <row r="50" spans="1:76" ht="12.9" customHeight="1">
      <c r="D50" s="435" t="s">
        <v>689</v>
      </c>
      <c r="AA50" s="446"/>
      <c r="AB50" s="2657">
        <v>0.87</v>
      </c>
      <c r="AC50" s="2658"/>
      <c r="AD50" s="2658"/>
      <c r="AE50" s="2658"/>
      <c r="AF50" s="2659"/>
    </row>
    <row r="51" spans="1:76" s="448" customFormat="1" ht="12.9" customHeight="1">
      <c r="A51" s="433"/>
      <c r="B51" s="433"/>
      <c r="C51" s="433"/>
      <c r="D51" s="433"/>
      <c r="E51" s="2660" t="s">
        <v>2038</v>
      </c>
      <c r="F51" s="2660"/>
      <c r="G51" s="2660"/>
      <c r="H51" s="2660"/>
      <c r="I51" s="2660"/>
      <c r="J51" s="2660"/>
      <c r="K51" s="2660"/>
      <c r="L51" s="2660"/>
      <c r="M51" s="2660"/>
      <c r="N51" s="2660"/>
      <c r="O51" s="2660"/>
      <c r="P51" s="2660"/>
      <c r="Q51" s="2660"/>
      <c r="R51" s="2660"/>
      <c r="S51" s="2660"/>
      <c r="T51" s="2660"/>
      <c r="U51" s="2660"/>
      <c r="V51" s="2660"/>
      <c r="W51" s="2660"/>
      <c r="X51" s="2660"/>
      <c r="Y51" s="2660"/>
      <c r="Z51" s="2660"/>
      <c r="AA51" s="447"/>
      <c r="AB51" s="447"/>
      <c r="AC51" s="447"/>
      <c r="AD51" s="447"/>
      <c r="AE51" s="447"/>
      <c r="AF51" s="447"/>
      <c r="AG51" s="433"/>
      <c r="AH51" s="433"/>
      <c r="AI51" s="433"/>
      <c r="AJ51" s="433"/>
      <c r="AK51" s="433"/>
      <c r="AL51" s="433"/>
      <c r="AM51" s="433"/>
      <c r="AN51" s="433"/>
    </row>
    <row r="52" spans="1:76" s="448" customFormat="1" ht="12.9" customHeight="1">
      <c r="A52" s="433"/>
      <c r="B52" s="433"/>
      <c r="C52" s="433"/>
      <c r="D52" s="433"/>
      <c r="E52" s="2660"/>
      <c r="F52" s="2660"/>
      <c r="G52" s="2660"/>
      <c r="H52" s="2660"/>
      <c r="I52" s="2660"/>
      <c r="J52" s="2660"/>
      <c r="K52" s="2660"/>
      <c r="L52" s="2660"/>
      <c r="M52" s="2660"/>
      <c r="N52" s="2660"/>
      <c r="O52" s="2660"/>
      <c r="P52" s="2660"/>
      <c r="Q52" s="2660"/>
      <c r="R52" s="2660"/>
      <c r="S52" s="2660"/>
      <c r="T52" s="2660"/>
      <c r="U52" s="2660"/>
      <c r="V52" s="2660"/>
      <c r="W52" s="2660"/>
      <c r="X52" s="2660"/>
      <c r="Y52" s="2660"/>
      <c r="Z52" s="2660"/>
      <c r="AA52" s="449"/>
      <c r="AB52" s="449"/>
      <c r="AC52" s="449"/>
      <c r="AD52" s="449"/>
      <c r="AE52" s="449"/>
      <c r="AF52" s="449"/>
      <c r="AG52" s="450"/>
      <c r="AH52" s="433"/>
      <c r="AI52" s="433"/>
      <c r="AJ52" s="433"/>
      <c r="AK52" s="433"/>
      <c r="AL52" s="433"/>
      <c r="AM52" s="433"/>
      <c r="AN52" s="433"/>
    </row>
    <row r="53" spans="1:76" ht="12.9"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 customHeight="1">
      <c r="D54" s="435" t="s">
        <v>333</v>
      </c>
      <c r="AB54" s="2630">
        <f>ROUND(IF(ISERROR((AB49/AB50)),0,(AB49/AB50)),0)</f>
        <v>36666667</v>
      </c>
      <c r="AC54" s="2631"/>
      <c r="AD54" s="2631"/>
      <c r="AE54" s="2631"/>
      <c r="AF54" s="2632"/>
    </row>
    <row r="55" spans="1:76" ht="12.9" customHeight="1">
      <c r="D55" s="435" t="s">
        <v>334</v>
      </c>
      <c r="AB55" s="2630">
        <f>(AB54/10)</f>
        <v>3666666.7</v>
      </c>
      <c r="AC55" s="2631"/>
      <c r="AD55" s="2631"/>
      <c r="AE55" s="2631"/>
      <c r="AF55" s="2632"/>
    </row>
    <row r="56" spans="1:76" ht="12.9" customHeight="1">
      <c r="D56" s="435" t="s">
        <v>765</v>
      </c>
      <c r="AB56" s="2661">
        <f>(IF((Y41&lt;AB55),Y41,AB55))</f>
        <v>3666666.7</v>
      </c>
      <c r="AC56" s="2662"/>
      <c r="AD56" s="2662"/>
      <c r="AE56" s="2662"/>
      <c r="AF56" s="2663"/>
    </row>
    <row r="57" spans="1:76" ht="12.9" customHeight="1">
      <c r="D57" s="435" t="s">
        <v>764</v>
      </c>
      <c r="AB57" s="2630">
        <f>ROUND((10*AB56*AB50),0)</f>
        <v>31900000</v>
      </c>
      <c r="AC57" s="2631"/>
      <c r="AD57" s="2631"/>
      <c r="AE57" s="2631"/>
      <c r="AF57" s="2632"/>
    </row>
    <row r="58" spans="1:76" ht="12.9" customHeight="1">
      <c r="D58" s="435"/>
      <c r="AB58" s="454"/>
      <c r="AC58" s="454"/>
      <c r="AD58" s="454"/>
      <c r="AE58" s="454"/>
      <c r="AF58" s="454"/>
    </row>
    <row r="59" spans="1:76" ht="12.9" customHeight="1">
      <c r="D59" s="435" t="s">
        <v>763</v>
      </c>
      <c r="AB59" s="2653">
        <f>AB49-AB57</f>
        <v>0</v>
      </c>
      <c r="AC59" s="2653"/>
      <c r="AD59" s="2653"/>
      <c r="AE59" s="2653"/>
      <c r="AF59" s="2653"/>
    </row>
    <row r="60" spans="1:76" ht="12.9" customHeight="1">
      <c r="D60" s="435"/>
      <c r="AB60" s="454"/>
      <c r="AC60" s="454"/>
      <c r="AD60" s="454"/>
      <c r="AE60" s="454"/>
      <c r="AF60" s="454"/>
    </row>
    <row r="61" spans="1:76" s="218" customFormat="1" ht="12.9" customHeight="1" thickBot="1">
      <c r="A61" s="2618" t="str">
        <f>IF(Application!AP205="yes","Farmworker State Credit", "State Credit" )</f>
        <v>State Credit</v>
      </c>
      <c r="B61" s="2618"/>
      <c r="C61" s="2618"/>
      <c r="D61" s="2618"/>
      <c r="E61" s="2618"/>
      <c r="F61" s="2618"/>
      <c r="G61" s="2618"/>
      <c r="H61" s="2618"/>
      <c r="I61" s="2618"/>
      <c r="J61" s="2618"/>
      <c r="K61" s="2618"/>
      <c r="L61" s="2618"/>
      <c r="M61" s="2618"/>
      <c r="N61" s="2618"/>
      <c r="O61" s="2618"/>
      <c r="P61" s="2618"/>
      <c r="Q61" s="2618"/>
      <c r="R61" s="2618"/>
      <c r="S61" s="2618"/>
      <c r="T61" s="2618"/>
      <c r="U61" s="2618"/>
      <c r="V61" s="2618"/>
      <c r="W61" s="2618"/>
      <c r="X61" s="2618"/>
      <c r="Y61" s="2618"/>
      <c r="Z61" s="2618"/>
      <c r="AA61" s="2618"/>
      <c r="AB61" s="2618"/>
      <c r="AC61" s="2618"/>
      <c r="AD61" s="2618"/>
      <c r="AE61" s="2618"/>
      <c r="AF61" s="2618"/>
      <c r="AG61" s="2618"/>
      <c r="AH61" s="2618"/>
      <c r="AI61" s="2618"/>
      <c r="AJ61" s="2618"/>
      <c r="AK61" s="2618"/>
      <c r="AL61" s="2618"/>
      <c r="AM61" s="2618"/>
      <c r="AN61" s="2618"/>
      <c r="AO61" s="2618"/>
      <c r="AP61" s="2618"/>
      <c r="AQ61" s="2618"/>
      <c r="AR61" s="2618"/>
      <c r="AS61" s="2618"/>
      <c r="AT61" s="2618"/>
      <c r="AU61" s="2618"/>
      <c r="AV61" s="2618"/>
      <c r="AW61" s="2618"/>
      <c r="AX61" s="2618"/>
      <c r="AY61" s="2618"/>
      <c r="AZ61" s="2618"/>
      <c r="BA61" s="2618"/>
      <c r="BB61" s="2618"/>
      <c r="BC61" s="2618"/>
      <c r="BD61" s="2618"/>
      <c r="BE61" s="2618"/>
      <c r="BF61" s="2618"/>
      <c r="BG61" s="2618"/>
      <c r="BH61" s="2618"/>
      <c r="BI61" s="2618"/>
      <c r="BJ61" s="2618"/>
      <c r="BK61" s="2618"/>
      <c r="BL61" s="2618"/>
      <c r="BM61" s="2618"/>
      <c r="BN61" s="2618"/>
      <c r="BO61" s="2618"/>
      <c r="BP61" s="2618"/>
      <c r="BQ61" s="2618"/>
      <c r="BR61" s="2618"/>
      <c r="BS61" s="2618"/>
      <c r="BT61" s="2618"/>
      <c r="BU61" s="2618"/>
      <c r="BV61" s="2618"/>
      <c r="BW61" s="2618"/>
      <c r="BX61" s="2618"/>
    </row>
    <row r="62" spans="1:76" s="218" customFormat="1" ht="12.9" customHeight="1" thickTop="1"/>
    <row r="63" spans="1:76" ht="12.9" customHeight="1">
      <c r="A63" s="435" t="s">
        <v>597</v>
      </c>
      <c r="C63" s="219" t="s">
        <v>1357</v>
      </c>
      <c r="Y63" s="2654" t="s">
        <v>1003</v>
      </c>
      <c r="Z63" s="2654"/>
      <c r="AA63" s="2654"/>
      <c r="AB63" s="2654"/>
      <c r="AC63" s="2654"/>
      <c r="AD63" s="2654" t="s">
        <v>370</v>
      </c>
      <c r="AE63" s="2654"/>
      <c r="AF63" s="2654"/>
      <c r="AG63" s="2654"/>
      <c r="AH63" s="2654"/>
    </row>
    <row r="64" spans="1:76" ht="12.9"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5">
        <f>IF(Application!Z205="(select)",0,((T23*T27)+Y28))</f>
        <v>70699840</v>
      </c>
      <c r="Z64" s="2655"/>
      <c r="AA64" s="2655"/>
      <c r="AB64" s="2655"/>
      <c r="AC64" s="2656"/>
      <c r="AD64" s="2615">
        <f>IF(AND(OR(Application!D211="At-Risk",Application!D211="At-Risk and Special Needs"),Application!M358="yes"),AD28+AI28,0)</f>
        <v>0</v>
      </c>
      <c r="AE64" s="2655"/>
      <c r="AF64" s="2655"/>
      <c r="AG64" s="2655"/>
      <c r="AH64" s="2656"/>
    </row>
    <row r="65" spans="1:36" ht="12.9" customHeight="1">
      <c r="C65" s="435"/>
      <c r="E65" s="1052"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1">
        <f>IF(Application!AP205="yes",0.75,IF(Application!Z204="15% set-aside",0.13,IF(Application!Z204="15% set-aside with qualifying low value rehab",0.95,0.3)))</f>
        <v>0.3</v>
      </c>
      <c r="Z67" s="2671"/>
      <c r="AA67" s="2671"/>
      <c r="AB67" s="2671"/>
      <c r="AC67" s="2671"/>
      <c r="AD67" s="2671">
        <f>IF(Application!Z204="15% set-aside with qualifying low value rehab", 0.95,0.13)</f>
        <v>0.13</v>
      </c>
      <c r="AE67" s="2671"/>
      <c r="AF67" s="2671"/>
      <c r="AG67" s="2671"/>
      <c r="AH67" s="2671"/>
    </row>
    <row r="68" spans="1:36" ht="12.9" customHeight="1">
      <c r="C68" s="435"/>
      <c r="D68" s="219" t="s">
        <v>1359</v>
      </c>
      <c r="Y68" s="2614">
        <f>ROUND(Y64*Y67,0)</f>
        <v>21209952</v>
      </c>
      <c r="Z68" s="2672"/>
      <c r="AA68" s="2672"/>
      <c r="AB68" s="2672"/>
      <c r="AC68" s="2672"/>
      <c r="AD68" s="2614">
        <f>ROUND(AD64*AD67,0)</f>
        <v>0</v>
      </c>
      <c r="AE68" s="2672"/>
      <c r="AF68" s="2672"/>
      <c r="AG68" s="2672"/>
      <c r="AH68" s="2672"/>
    </row>
    <row r="69" spans="1:36" ht="12.9" customHeight="1">
      <c r="C69" s="435"/>
      <c r="E69" s="435"/>
      <c r="AB69" s="453"/>
      <c r="AC69" s="453"/>
      <c r="AD69" s="453"/>
      <c r="AE69" s="453"/>
      <c r="AF69" s="453"/>
    </row>
    <row r="70" spans="1:36" ht="12.9" customHeight="1">
      <c r="A70" s="435" t="s">
        <v>598</v>
      </c>
      <c r="C70" s="219" t="s">
        <v>285</v>
      </c>
    </row>
    <row r="71" spans="1:36" ht="12.9" customHeight="1">
      <c r="A71" s="435"/>
      <c r="C71" s="435"/>
      <c r="D71" s="219" t="s">
        <v>1360</v>
      </c>
      <c r="AB71" s="2657"/>
      <c r="AC71" s="2658"/>
      <c r="AD71" s="2658"/>
      <c r="AE71" s="2658"/>
      <c r="AF71" s="2659"/>
    </row>
    <row r="72" spans="1:36" ht="12.9" customHeight="1">
      <c r="A72" s="435"/>
      <c r="C72" s="435"/>
      <c r="D72" s="435"/>
      <c r="E72" s="2673" t="s">
        <v>1361</v>
      </c>
      <c r="F72" s="2673"/>
      <c r="G72" s="2673"/>
      <c r="H72" s="2673"/>
      <c r="I72" s="2673"/>
      <c r="J72" s="2673"/>
      <c r="K72" s="2673"/>
      <c r="L72" s="2673"/>
      <c r="M72" s="2673"/>
      <c r="N72" s="2673"/>
      <c r="O72" s="2673"/>
      <c r="P72" s="2673"/>
      <c r="Q72" s="2673"/>
      <c r="R72" s="2673"/>
      <c r="S72" s="2673"/>
      <c r="T72" s="2673"/>
      <c r="U72" s="2673"/>
      <c r="V72" s="2673"/>
      <c r="W72" s="2673"/>
      <c r="X72" s="2673"/>
      <c r="Y72" s="2673"/>
      <c r="Z72" s="2673"/>
      <c r="AA72" s="2673"/>
      <c r="AB72" s="471"/>
      <c r="AC72" s="471"/>
    </row>
    <row r="73" spans="1:36" ht="12.9" customHeight="1">
      <c r="A73" s="435"/>
      <c r="C73" s="435"/>
      <c r="D73" s="435"/>
      <c r="E73" s="2673"/>
      <c r="F73" s="2673"/>
      <c r="G73" s="2673"/>
      <c r="H73" s="2673"/>
      <c r="I73" s="2673"/>
      <c r="J73" s="2673"/>
      <c r="K73" s="2673"/>
      <c r="L73" s="2673"/>
      <c r="M73" s="2673"/>
      <c r="N73" s="2673"/>
      <c r="O73" s="2673"/>
      <c r="P73" s="2673"/>
      <c r="Q73" s="2673"/>
      <c r="R73" s="2673"/>
      <c r="S73" s="2673"/>
      <c r="T73" s="2673"/>
      <c r="U73" s="2673"/>
      <c r="V73" s="2673"/>
      <c r="W73" s="2673"/>
      <c r="X73" s="2673"/>
      <c r="Y73" s="2673"/>
      <c r="Z73" s="2673"/>
      <c r="AA73" s="2673"/>
      <c r="AB73" s="471"/>
      <c r="AC73" s="471"/>
    </row>
    <row r="74" spans="1:36" ht="12.9" customHeight="1">
      <c r="A74" s="435"/>
      <c r="C74" s="435"/>
      <c r="D74" s="435"/>
      <c r="E74" s="2673"/>
      <c r="F74" s="2673"/>
      <c r="G74" s="2673"/>
      <c r="H74" s="2673"/>
      <c r="I74" s="2673"/>
      <c r="J74" s="2673"/>
      <c r="K74" s="2673"/>
      <c r="L74" s="2673"/>
      <c r="M74" s="2673"/>
      <c r="N74" s="2673"/>
      <c r="O74" s="2673"/>
      <c r="P74" s="2673"/>
      <c r="Q74" s="2673"/>
      <c r="R74" s="2673"/>
      <c r="S74" s="2673"/>
      <c r="T74" s="2673"/>
      <c r="U74" s="2673"/>
      <c r="V74" s="2673"/>
      <c r="W74" s="2673"/>
      <c r="X74" s="2673"/>
      <c r="Y74" s="2673"/>
      <c r="Z74" s="2673"/>
      <c r="AA74" s="2673"/>
      <c r="AB74" s="471"/>
      <c r="AC74" s="471"/>
    </row>
    <row r="75" spans="1:36" ht="12.9"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 customHeight="1">
      <c r="C76" s="435"/>
      <c r="D76" s="219" t="s">
        <v>1362</v>
      </c>
      <c r="AB76" s="2666">
        <f>ROUND(IF(ISERROR((AB59/AB71)),0,(AB59/AB71)),0)</f>
        <v>0</v>
      </c>
      <c r="AC76" s="2666"/>
      <c r="AD76" s="2666"/>
      <c r="AE76" s="2666"/>
      <c r="AF76" s="2666"/>
    </row>
    <row r="77" spans="1:36" ht="12.9" customHeight="1">
      <c r="C77" s="435"/>
      <c r="D77" s="219" t="s">
        <v>1363</v>
      </c>
      <c r="AB77" s="2667">
        <f>IF((Y68+AD68&lt;AB76),Y68+AD68,AB76)</f>
        <v>0</v>
      </c>
      <c r="AC77" s="2668"/>
      <c r="AD77" s="2668"/>
      <c r="AE77" s="2668"/>
      <c r="AF77" s="2669"/>
    </row>
    <row r="78" spans="1:36" ht="12.9" customHeight="1">
      <c r="C78" s="435"/>
      <c r="D78" s="219" t="s">
        <v>1364</v>
      </c>
      <c r="AB78" s="2670">
        <f>AB77*AB71</f>
        <v>0</v>
      </c>
      <c r="AC78" s="2670"/>
      <c r="AD78" s="2670"/>
      <c r="AE78" s="2670"/>
      <c r="AF78" s="2670"/>
    </row>
    <row r="79" spans="1:36" ht="12.9" customHeight="1">
      <c r="C79" s="435"/>
      <c r="D79" s="435"/>
      <c r="AB79" s="456"/>
      <c r="AC79" s="456"/>
      <c r="AD79" s="456"/>
      <c r="AE79" s="456"/>
      <c r="AF79" s="456"/>
    </row>
    <row r="80" spans="1:36" ht="12.9" customHeight="1">
      <c r="D80" s="435" t="s">
        <v>763</v>
      </c>
      <c r="AB80" s="2653">
        <f>AB49-(AB57+AB78)</f>
        <v>0</v>
      </c>
      <c r="AC80" s="2653"/>
      <c r="AD80" s="2653"/>
      <c r="AE80" s="2653"/>
      <c r="AF80" s="2653"/>
    </row>
    <row r="81" spans="1:78" ht="12.9" customHeight="1">
      <c r="F81" s="556"/>
      <c r="J81" s="556" t="str">
        <f>IF(AB80&gt;0,"FUNDING GAP MUST NOT EXCEED ZERO","")</f>
        <v/>
      </c>
    </row>
    <row r="82" spans="1:78" ht="12.9" customHeight="1">
      <c r="D82" s="557"/>
    </row>
    <row r="83" spans="1:78" ht="12.9" customHeight="1" thickBot="1">
      <c r="A83" s="2618"/>
      <c r="B83" s="2618"/>
      <c r="C83" s="2618"/>
      <c r="D83" s="2618"/>
      <c r="E83" s="2618"/>
      <c r="F83" s="2618"/>
      <c r="G83" s="2618"/>
      <c r="H83" s="2618"/>
      <c r="I83" s="2618"/>
      <c r="J83" s="2618"/>
      <c r="K83" s="2618"/>
      <c r="L83" s="2618"/>
      <c r="M83" s="2618"/>
      <c r="N83" s="2618"/>
      <c r="O83" s="2618"/>
      <c r="P83" s="2618"/>
      <c r="Q83" s="2618"/>
      <c r="R83" s="2618"/>
      <c r="S83" s="2618"/>
      <c r="T83" s="2618"/>
      <c r="U83" s="2618"/>
      <c r="V83" s="2618"/>
      <c r="W83" s="2618"/>
      <c r="X83" s="2618"/>
      <c r="Y83" s="2618"/>
      <c r="Z83" s="2618"/>
      <c r="AA83" s="2618"/>
      <c r="AB83" s="2618"/>
      <c r="AC83" s="2618"/>
      <c r="AD83" s="2618"/>
      <c r="AE83" s="2618"/>
      <c r="AF83" s="2618"/>
      <c r="AG83" s="2618"/>
      <c r="AH83" s="2618"/>
      <c r="AI83" s="2618"/>
      <c r="AJ83" s="2618"/>
      <c r="AK83" s="2618"/>
      <c r="AL83" s="2618"/>
      <c r="AM83" s="2618"/>
      <c r="AN83" s="2618"/>
      <c r="AO83" s="2618"/>
      <c r="AP83" s="2618"/>
      <c r="AQ83" s="2618"/>
      <c r="AR83" s="2618"/>
      <c r="AS83" s="2618"/>
      <c r="AT83" s="2618"/>
      <c r="AU83" s="2618"/>
      <c r="AV83" s="2618"/>
      <c r="AW83" s="2618"/>
      <c r="AX83" s="2618"/>
      <c r="AY83" s="2618"/>
      <c r="AZ83" s="2618"/>
      <c r="BA83" s="2618"/>
      <c r="BB83" s="2618"/>
      <c r="BC83" s="2618"/>
      <c r="BD83" s="2618"/>
      <c r="BE83" s="2618"/>
      <c r="BF83" s="2618"/>
      <c r="BG83" s="2618"/>
      <c r="BH83" s="2618"/>
      <c r="BI83" s="2618"/>
      <c r="BJ83" s="2618"/>
      <c r="BK83" s="2618"/>
      <c r="BL83" s="2618"/>
      <c r="BM83" s="2618"/>
      <c r="BN83" s="2618"/>
      <c r="BO83" s="2618"/>
      <c r="BP83" s="2618"/>
      <c r="BQ83" s="2618"/>
      <c r="BR83" s="2618"/>
      <c r="BS83" s="2618"/>
      <c r="BT83" s="2618"/>
      <c r="BU83" s="2618"/>
      <c r="BV83" s="2618"/>
      <c r="BW83" s="2618"/>
      <c r="BX83" s="2618"/>
    </row>
    <row r="84" spans="1:78" ht="12.9" customHeight="1" thickTop="1"/>
    <row r="85" spans="1:78" ht="12.9" customHeight="1">
      <c r="A85" s="435"/>
      <c r="C85" s="219"/>
    </row>
    <row r="86" spans="1:78" ht="12.9" customHeight="1">
      <c r="D86" s="219"/>
      <c r="AB86" s="2619"/>
      <c r="AC86" s="2619"/>
      <c r="AD86" s="2619"/>
      <c r="AE86" s="2619"/>
      <c r="AF86" s="2619"/>
    </row>
    <row r="87" spans="1:78" ht="12.9" customHeight="1" thickBot="1">
      <c r="D87" s="219"/>
      <c r="AB87" s="2617"/>
      <c r="AC87" s="2617"/>
      <c r="AD87" s="2617"/>
      <c r="AE87" s="2617"/>
      <c r="AF87" s="2617"/>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22" workbookViewId="0">
      <selection activeCell="F22" sqref="F22"/>
    </sheetView>
  </sheetViews>
  <sheetFormatPr defaultColWidth="9.109375"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09375" style="327"/>
  </cols>
  <sheetData>
    <row r="1" spans="1:12">
      <c r="A1" s="2674" t="s">
        <v>924</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82.8">
      <c r="A3" s="457" t="s">
        <v>925</v>
      </c>
      <c r="B3" s="457" t="s">
        <v>926</v>
      </c>
      <c r="C3" s="457" t="s">
        <v>2255</v>
      </c>
      <c r="D3" s="1190" t="s">
        <v>927</v>
      </c>
      <c r="E3" s="218"/>
      <c r="F3" s="1190" t="s">
        <v>928</v>
      </c>
      <c r="G3" s="457" t="s">
        <v>929</v>
      </c>
      <c r="H3" s="458"/>
      <c r="I3" s="457" t="s">
        <v>930</v>
      </c>
      <c r="J3" s="457" t="s">
        <v>931</v>
      </c>
      <c r="K3" s="218"/>
      <c r="L3" s="328"/>
    </row>
    <row r="4" spans="1:12">
      <c r="A4" s="459" t="str">
        <f>Application!B718</f>
        <v>1 Bedroom</v>
      </c>
      <c r="B4" s="1121">
        <f>Application!G718</f>
        <v>2</v>
      </c>
      <c r="C4" s="1122" t="s">
        <v>301</v>
      </c>
      <c r="D4" s="459">
        <f>Application!O718</f>
        <v>678</v>
      </c>
      <c r="E4" s="460"/>
      <c r="F4" s="1123">
        <v>2143</v>
      </c>
      <c r="G4" s="459">
        <f>F4*B4</f>
        <v>4286</v>
      </c>
      <c r="H4" s="460"/>
      <c r="I4" s="459">
        <f t="shared" ref="I4:I27" si="0">IF(F4=0,"",(F4-D4))</f>
        <v>1465</v>
      </c>
      <c r="J4" s="459">
        <f t="shared" ref="J4:J27" si="1">IF(F4=0,"",(I4*B4))</f>
        <v>2930</v>
      </c>
      <c r="K4" s="218"/>
      <c r="L4" s="328"/>
    </row>
    <row r="5" spans="1:12">
      <c r="A5" s="459" t="str">
        <f>Application!B719</f>
        <v>1 Bedroom</v>
      </c>
      <c r="B5" s="1121">
        <f>Application!G719</f>
        <v>4</v>
      </c>
      <c r="C5" s="1122" t="s">
        <v>301</v>
      </c>
      <c r="D5" s="459">
        <f>Application!O719</f>
        <v>678</v>
      </c>
      <c r="E5" s="460"/>
      <c r="F5" s="1123"/>
      <c r="G5" s="459">
        <f t="shared" ref="G5:G38" si="2">F5*B5</f>
        <v>0</v>
      </c>
      <c r="H5" s="460"/>
      <c r="I5" s="459" t="str">
        <f t="shared" si="0"/>
        <v/>
      </c>
      <c r="J5" s="459" t="str">
        <f t="shared" si="1"/>
        <v/>
      </c>
      <c r="K5" s="218"/>
      <c r="L5" s="328"/>
    </row>
    <row r="6" spans="1:12">
      <c r="A6" s="459" t="str">
        <f>Application!B720</f>
        <v>1 Bedroom</v>
      </c>
      <c r="B6" s="1121">
        <f>Application!G720</f>
        <v>6</v>
      </c>
      <c r="C6" s="1122" t="s">
        <v>301</v>
      </c>
      <c r="D6" s="459">
        <f>Application!O720</f>
        <v>927</v>
      </c>
      <c r="E6" s="460"/>
      <c r="F6" s="1123"/>
      <c r="G6" s="459">
        <f t="shared" si="2"/>
        <v>0</v>
      </c>
      <c r="H6" s="460"/>
      <c r="I6" s="459" t="str">
        <f t="shared" si="0"/>
        <v/>
      </c>
      <c r="J6" s="459" t="str">
        <f t="shared" si="1"/>
        <v/>
      </c>
      <c r="K6" s="218"/>
      <c r="L6" s="328"/>
    </row>
    <row r="7" spans="1:12">
      <c r="A7" s="459" t="str">
        <f>Application!B721</f>
        <v>1 Bedroom</v>
      </c>
      <c r="B7" s="1121">
        <f>Application!G721</f>
        <v>6</v>
      </c>
      <c r="C7" s="1122" t="s">
        <v>301</v>
      </c>
      <c r="D7" s="459">
        <f>Application!O721</f>
        <v>1176</v>
      </c>
      <c r="E7" s="460"/>
      <c r="F7" s="1123"/>
      <c r="G7" s="459">
        <f t="shared" si="2"/>
        <v>0</v>
      </c>
      <c r="H7" s="460"/>
      <c r="I7" s="459" t="str">
        <f t="shared" si="0"/>
        <v/>
      </c>
      <c r="J7" s="459" t="str">
        <f t="shared" si="1"/>
        <v/>
      </c>
      <c r="K7" s="218"/>
      <c r="L7" s="328"/>
    </row>
    <row r="8" spans="1:12">
      <c r="A8" s="459" t="str">
        <f>Application!B722</f>
        <v>1 Bedroom</v>
      </c>
      <c r="B8" s="1121">
        <f>Application!G722</f>
        <v>6</v>
      </c>
      <c r="C8" s="1122" t="s">
        <v>301</v>
      </c>
      <c r="D8" s="459">
        <f>Application!O722</f>
        <v>1425</v>
      </c>
      <c r="E8" s="460"/>
      <c r="F8" s="1123"/>
      <c r="G8" s="459">
        <f t="shared" si="2"/>
        <v>0</v>
      </c>
      <c r="H8" s="460"/>
      <c r="I8" s="459" t="str">
        <f t="shared" si="0"/>
        <v/>
      </c>
      <c r="J8" s="459" t="str">
        <f t="shared" si="1"/>
        <v/>
      </c>
      <c r="K8" s="218"/>
      <c r="L8" s="328"/>
    </row>
    <row r="9" spans="1:12">
      <c r="A9" s="459" t="str">
        <f>Application!B723</f>
        <v>1 Bedroom</v>
      </c>
      <c r="B9" s="1121">
        <f>Application!G723</f>
        <v>36</v>
      </c>
      <c r="C9" s="1122" t="s">
        <v>301</v>
      </c>
      <c r="D9" s="459">
        <f>Application!O723</f>
        <v>1674</v>
      </c>
      <c r="E9" s="460"/>
      <c r="F9" s="1123"/>
      <c r="G9" s="459">
        <f t="shared" si="2"/>
        <v>0</v>
      </c>
      <c r="H9" s="460"/>
      <c r="I9" s="459" t="str">
        <f t="shared" si="0"/>
        <v/>
      </c>
      <c r="J9" s="459" t="str">
        <f t="shared" si="1"/>
        <v/>
      </c>
      <c r="K9" s="218"/>
      <c r="L9" s="328"/>
    </row>
    <row r="10" spans="1:12">
      <c r="A10" s="459" t="str">
        <f>Application!B724</f>
        <v>2 Bedrooms</v>
      </c>
      <c r="B10" s="1121">
        <f>Application!G724</f>
        <v>2</v>
      </c>
      <c r="C10" s="1122" t="s">
        <v>301</v>
      </c>
      <c r="D10" s="459">
        <f>Application!O724</f>
        <v>801</v>
      </c>
      <c r="E10" s="460"/>
      <c r="F10" s="1123">
        <v>2559</v>
      </c>
      <c r="G10" s="459">
        <f t="shared" si="2"/>
        <v>5118</v>
      </c>
      <c r="H10" s="460"/>
      <c r="I10" s="459">
        <f t="shared" si="0"/>
        <v>1758</v>
      </c>
      <c r="J10" s="459">
        <f t="shared" si="1"/>
        <v>3516</v>
      </c>
      <c r="K10" s="218"/>
      <c r="L10" s="328"/>
    </row>
    <row r="11" spans="1:12">
      <c r="A11" s="459" t="str">
        <f>Application!B725</f>
        <v>2 Bedrooms</v>
      </c>
      <c r="B11" s="1121">
        <f>Application!G725</f>
        <v>2</v>
      </c>
      <c r="C11" s="1122" t="s">
        <v>301</v>
      </c>
      <c r="D11" s="459">
        <f>Application!O725</f>
        <v>801</v>
      </c>
      <c r="E11" s="460"/>
      <c r="F11" s="1123"/>
      <c r="G11" s="459">
        <f t="shared" si="2"/>
        <v>0</v>
      </c>
      <c r="H11" s="460"/>
      <c r="I11" s="459" t="str">
        <f t="shared" si="0"/>
        <v/>
      </c>
      <c r="J11" s="459" t="str">
        <f t="shared" si="1"/>
        <v/>
      </c>
      <c r="K11" s="218"/>
      <c r="L11" s="328"/>
    </row>
    <row r="12" spans="1:12">
      <c r="A12" s="459" t="str">
        <f>Application!B726</f>
        <v>2 Bedrooms</v>
      </c>
      <c r="B12" s="1121">
        <f>Application!G726</f>
        <v>4</v>
      </c>
      <c r="C12" s="1122" t="s">
        <v>301</v>
      </c>
      <c r="D12" s="459">
        <f>Application!O726</f>
        <v>1100</v>
      </c>
      <c r="E12" s="460"/>
      <c r="F12" s="1123"/>
      <c r="G12" s="459">
        <f t="shared" si="2"/>
        <v>0</v>
      </c>
      <c r="H12" s="460"/>
      <c r="I12" s="459" t="str">
        <f t="shared" si="0"/>
        <v/>
      </c>
      <c r="J12" s="459" t="str">
        <f t="shared" si="1"/>
        <v/>
      </c>
      <c r="K12" s="218"/>
      <c r="L12" s="328"/>
    </row>
    <row r="13" spans="1:12">
      <c r="A13" s="459" t="str">
        <f>Application!B727</f>
        <v>2 Bedrooms</v>
      </c>
      <c r="B13" s="1121">
        <f>Application!G727</f>
        <v>4</v>
      </c>
      <c r="C13" s="1122" t="s">
        <v>301</v>
      </c>
      <c r="D13" s="459">
        <f>Application!O727</f>
        <v>1399</v>
      </c>
      <c r="E13" s="460"/>
      <c r="F13" s="1123"/>
      <c r="G13" s="459">
        <f t="shared" si="2"/>
        <v>0</v>
      </c>
      <c r="H13" s="460"/>
      <c r="I13" s="459" t="str">
        <f t="shared" si="0"/>
        <v/>
      </c>
      <c r="J13" s="459" t="str">
        <f t="shared" si="1"/>
        <v/>
      </c>
      <c r="K13" s="218"/>
      <c r="L13" s="328"/>
    </row>
    <row r="14" spans="1:12">
      <c r="A14" s="459" t="str">
        <f>Application!B728</f>
        <v>2 Bedrooms</v>
      </c>
      <c r="B14" s="1121">
        <f>Application!G728</f>
        <v>4</v>
      </c>
      <c r="C14" s="1122" t="s">
        <v>301</v>
      </c>
      <c r="D14" s="459">
        <f>Application!O728</f>
        <v>1698</v>
      </c>
      <c r="E14" s="460"/>
      <c r="F14" s="1123"/>
      <c r="G14" s="459">
        <f t="shared" si="2"/>
        <v>0</v>
      </c>
      <c r="H14" s="460"/>
      <c r="I14" s="459" t="str">
        <f t="shared" si="0"/>
        <v/>
      </c>
      <c r="J14" s="459" t="str">
        <f t="shared" si="1"/>
        <v/>
      </c>
      <c r="K14" s="218"/>
      <c r="L14" s="328"/>
    </row>
    <row r="15" spans="1:12">
      <c r="A15" s="459" t="str">
        <f>Application!B729</f>
        <v>2 Bedrooms</v>
      </c>
      <c r="B15" s="1121">
        <f>Application!G729</f>
        <v>15</v>
      </c>
      <c r="C15" s="1122" t="s">
        <v>301</v>
      </c>
      <c r="D15" s="459">
        <f>Application!O729</f>
        <v>1997</v>
      </c>
      <c r="E15" s="460"/>
      <c r="F15" s="1123"/>
      <c r="G15" s="459">
        <f t="shared" si="2"/>
        <v>0</v>
      </c>
      <c r="H15" s="460"/>
      <c r="I15" s="459" t="str">
        <f t="shared" si="0"/>
        <v/>
      </c>
      <c r="J15" s="459" t="str">
        <f t="shared" si="1"/>
        <v/>
      </c>
      <c r="K15" s="218"/>
      <c r="L15" s="328"/>
    </row>
    <row r="16" spans="1:12">
      <c r="A16" s="459" t="str">
        <f>Application!B730</f>
        <v>3 Bedrooms</v>
      </c>
      <c r="B16" s="1121">
        <f>Application!G730</f>
        <v>2</v>
      </c>
      <c r="C16" s="1122" t="s">
        <v>301</v>
      </c>
      <c r="D16" s="459">
        <f>Application!O730</f>
        <v>913</v>
      </c>
      <c r="E16" s="460"/>
      <c r="F16" s="1123">
        <v>3518</v>
      </c>
      <c r="G16" s="459">
        <f t="shared" si="2"/>
        <v>7036</v>
      </c>
      <c r="H16" s="460"/>
      <c r="I16" s="459">
        <f t="shared" si="0"/>
        <v>2605</v>
      </c>
      <c r="J16" s="459">
        <f t="shared" si="1"/>
        <v>5210</v>
      </c>
      <c r="K16" s="218"/>
      <c r="L16" s="328"/>
    </row>
    <row r="17" spans="1:12">
      <c r="A17" s="459" t="str">
        <f>Application!B731</f>
        <v>3 Bedrooms</v>
      </c>
      <c r="B17" s="1121">
        <f>Application!G731</f>
        <v>4</v>
      </c>
      <c r="C17" s="1122" t="s">
        <v>301</v>
      </c>
      <c r="D17" s="459">
        <f>Application!O731</f>
        <v>913</v>
      </c>
      <c r="E17" s="460"/>
      <c r="F17" s="1123"/>
      <c r="G17" s="459">
        <f t="shared" si="2"/>
        <v>0</v>
      </c>
      <c r="H17" s="460"/>
      <c r="I17" s="459" t="str">
        <f t="shared" si="0"/>
        <v/>
      </c>
      <c r="J17" s="459" t="str">
        <f t="shared" si="1"/>
        <v/>
      </c>
      <c r="K17" s="218"/>
      <c r="L17" s="328"/>
    </row>
    <row r="18" spans="1:12">
      <c r="A18" s="459" t="str">
        <f>Application!B732</f>
        <v>3 Bedrooms</v>
      </c>
      <c r="B18" s="1121">
        <f>Application!G732</f>
        <v>6</v>
      </c>
      <c r="C18" s="1122" t="s">
        <v>301</v>
      </c>
      <c r="D18" s="459">
        <f>Application!O732</f>
        <v>1258</v>
      </c>
      <c r="E18" s="460"/>
      <c r="F18" s="1123"/>
      <c r="G18" s="459">
        <f t="shared" si="2"/>
        <v>0</v>
      </c>
      <c r="H18" s="460"/>
      <c r="I18" s="459" t="str">
        <f t="shared" si="0"/>
        <v/>
      </c>
      <c r="J18" s="459" t="str">
        <f t="shared" si="1"/>
        <v/>
      </c>
      <c r="K18" s="218"/>
      <c r="L18" s="328"/>
    </row>
    <row r="19" spans="1:12">
      <c r="A19" s="459" t="str">
        <f>Application!B733</f>
        <v>3 Bedrooms</v>
      </c>
      <c r="B19" s="1121">
        <f>Application!G733</f>
        <v>6</v>
      </c>
      <c r="C19" s="1122" t="s">
        <v>301</v>
      </c>
      <c r="D19" s="459">
        <f>Application!O733</f>
        <v>1603</v>
      </c>
      <c r="E19" s="460"/>
      <c r="F19" s="1123"/>
      <c r="G19" s="459">
        <f t="shared" si="2"/>
        <v>0</v>
      </c>
      <c r="H19" s="460"/>
      <c r="I19" s="459" t="str">
        <f t="shared" si="0"/>
        <v/>
      </c>
      <c r="J19" s="459" t="str">
        <f t="shared" si="1"/>
        <v/>
      </c>
      <c r="K19" s="218"/>
      <c r="L19" s="328"/>
    </row>
    <row r="20" spans="1:12">
      <c r="A20" s="459" t="str">
        <f>Application!B734</f>
        <v>3 Bedrooms</v>
      </c>
      <c r="B20" s="1121">
        <f>Application!G734</f>
        <v>6</v>
      </c>
      <c r="C20" s="1122" t="s">
        <v>301</v>
      </c>
      <c r="D20" s="459">
        <f>Application!O734</f>
        <v>1949</v>
      </c>
      <c r="E20" s="460"/>
      <c r="F20" s="1123"/>
      <c r="G20" s="459">
        <f t="shared" si="2"/>
        <v>0</v>
      </c>
      <c r="H20" s="460"/>
      <c r="I20" s="459" t="str">
        <f t="shared" si="0"/>
        <v/>
      </c>
      <c r="J20" s="459" t="str">
        <f t="shared" si="1"/>
        <v/>
      </c>
      <c r="K20" s="218"/>
      <c r="L20" s="328"/>
    </row>
    <row r="21" spans="1:12">
      <c r="A21" s="459" t="str">
        <f>Application!B735</f>
        <v>3 Bedrooms</v>
      </c>
      <c r="B21" s="1121">
        <f>Application!G735</f>
        <v>31</v>
      </c>
      <c r="C21" s="1122" t="s">
        <v>301</v>
      </c>
      <c r="D21" s="459">
        <f>Application!O735</f>
        <v>2294</v>
      </c>
      <c r="E21" s="460"/>
      <c r="F21" s="1123"/>
      <c r="G21" s="459">
        <f t="shared" si="2"/>
        <v>0</v>
      </c>
      <c r="H21" s="460"/>
      <c r="I21" s="459" t="str">
        <f t="shared" si="0"/>
        <v/>
      </c>
      <c r="J21" s="459" t="str">
        <f t="shared" si="1"/>
        <v/>
      </c>
      <c r="K21" s="218"/>
      <c r="L21" s="328"/>
    </row>
    <row r="22" spans="1:12">
      <c r="A22" s="459" t="str">
        <f>Application!B736</f>
        <v>4 Bedrooms</v>
      </c>
      <c r="B22" s="1121">
        <f>Application!G736</f>
        <v>2</v>
      </c>
      <c r="C22" s="1122" t="s">
        <v>301</v>
      </c>
      <c r="D22" s="459">
        <f>Application!O736</f>
        <v>1004</v>
      </c>
      <c r="E22" s="460"/>
      <c r="F22" s="1123">
        <v>4102</v>
      </c>
      <c r="G22" s="459">
        <f t="shared" si="2"/>
        <v>8204</v>
      </c>
      <c r="H22" s="460"/>
      <c r="I22" s="459">
        <f t="shared" si="0"/>
        <v>3098</v>
      </c>
      <c r="J22" s="459">
        <f t="shared" si="1"/>
        <v>6196</v>
      </c>
      <c r="K22" s="218"/>
      <c r="L22" s="328"/>
    </row>
    <row r="23" spans="1:12">
      <c r="A23" s="459" t="str">
        <f>Application!B737</f>
        <v>4 Bedrooms</v>
      </c>
      <c r="B23" s="1121">
        <f>Application!G737</f>
        <v>2</v>
      </c>
      <c r="C23" s="1122" t="s">
        <v>301</v>
      </c>
      <c r="D23" s="459">
        <f>Application!O737</f>
        <v>1390</v>
      </c>
      <c r="E23" s="460"/>
      <c r="F23" s="1123"/>
      <c r="G23" s="459">
        <f t="shared" si="2"/>
        <v>0</v>
      </c>
      <c r="H23" s="460"/>
      <c r="I23" s="459" t="str">
        <f t="shared" si="0"/>
        <v/>
      </c>
      <c r="J23" s="459" t="str">
        <f t="shared" si="1"/>
        <v/>
      </c>
      <c r="K23" s="218"/>
      <c r="L23" s="328"/>
    </row>
    <row r="24" spans="1:12">
      <c r="A24" s="459" t="str">
        <f>Application!B738</f>
        <v>4 Bedrooms</v>
      </c>
      <c r="B24" s="1121">
        <f>Application!G738</f>
        <v>2</v>
      </c>
      <c r="C24" s="1122" t="s">
        <v>301</v>
      </c>
      <c r="D24" s="459">
        <f>Application!O738</f>
        <v>1775</v>
      </c>
      <c r="E24" s="460"/>
      <c r="F24" s="1123"/>
      <c r="G24" s="459">
        <f t="shared" si="2"/>
        <v>0</v>
      </c>
      <c r="H24" s="460"/>
      <c r="I24" s="459" t="str">
        <f t="shared" si="0"/>
        <v/>
      </c>
      <c r="J24" s="459" t="str">
        <f t="shared" si="1"/>
        <v/>
      </c>
      <c r="K24" s="218"/>
      <c r="L24" s="328"/>
    </row>
    <row r="25" spans="1:12">
      <c r="A25" s="459" t="str">
        <f>Application!B739</f>
        <v>4 Bedrooms</v>
      </c>
      <c r="B25" s="1121">
        <f>Application!G739</f>
        <v>2</v>
      </c>
      <c r="C25" s="1122" t="s">
        <v>301</v>
      </c>
      <c r="D25" s="459">
        <f>Application!O739</f>
        <v>2160</v>
      </c>
      <c r="E25" s="460"/>
      <c r="F25" s="1123"/>
      <c r="G25" s="459">
        <f t="shared" si="2"/>
        <v>0</v>
      </c>
      <c r="H25" s="460"/>
      <c r="I25" s="459" t="str">
        <f t="shared" si="0"/>
        <v/>
      </c>
      <c r="J25" s="459" t="str">
        <f t="shared" si="1"/>
        <v/>
      </c>
      <c r="K25" s="218"/>
      <c r="L25" s="328"/>
    </row>
    <row r="26" spans="1:12">
      <c r="A26" s="459" t="str">
        <f>Application!B740</f>
        <v>4 Bedrooms</v>
      </c>
      <c r="B26" s="1121">
        <f>Application!G740</f>
        <v>10</v>
      </c>
      <c r="C26" s="1122" t="s">
        <v>301</v>
      </c>
      <c r="D26" s="459">
        <f>Application!O740</f>
        <v>2545</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279007</v>
      </c>
      <c r="E40" s="460"/>
      <c r="F40" s="460"/>
      <c r="G40" s="463">
        <f>SUM(G4:G38)*12</f>
        <v>295728</v>
      </c>
      <c r="H40" s="464"/>
      <c r="I40" s="462"/>
      <c r="J40" s="463">
        <f>SUM(J4:J38)*12</f>
        <v>214224</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1" workbookViewId="0">
      <selection activeCell="C72" sqref="C72"/>
    </sheetView>
  </sheetViews>
  <sheetFormatPr defaultColWidth="0" defaultRowHeight="13.2" zeroHeight="1"/>
  <cols>
    <col min="1" max="1" width="3.6640625" customWidth="1"/>
    <col min="2" max="2" width="30.554687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2407</v>
      </c>
      <c r="B1" s="226"/>
    </row>
    <row r="2" spans="1:34"/>
    <row r="3" spans="1:34" ht="15.6">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3.8">
      <c r="A4" s="235" t="s">
        <v>848</v>
      </c>
      <c r="C4" s="253">
        <v>1.0249999999999999</v>
      </c>
      <c r="E4" s="235">
        <f>Application!Y801</f>
        <v>3348084</v>
      </c>
      <c r="G4" s="235">
        <f>E4*$C$4</f>
        <v>3431786.0999999996</v>
      </c>
      <c r="I4" s="235">
        <f>G4*$C$4</f>
        <v>3517580.7524999995</v>
      </c>
      <c r="K4" s="235">
        <f>I4*$C$4</f>
        <v>3605520.271312499</v>
      </c>
      <c r="M4" s="235">
        <f>K4*$C$4</f>
        <v>3695658.278095311</v>
      </c>
      <c r="O4" s="235">
        <f>M4*$C$4</f>
        <v>3788049.7350476934</v>
      </c>
      <c r="Q4" s="235">
        <f>O4*$C$4</f>
        <v>3882750.9784238855</v>
      </c>
      <c r="S4" s="235">
        <f>Q4*$C$4</f>
        <v>3979819.7528844825</v>
      </c>
      <c r="U4" s="235">
        <f>S4*$C$4</f>
        <v>4079315.2467065942</v>
      </c>
      <c r="W4" s="235">
        <f>U4*$C$4</f>
        <v>4181298.1278742589</v>
      </c>
      <c r="Y4" s="235">
        <f>W4*$C$4</f>
        <v>4285830.5810711151</v>
      </c>
      <c r="AA4" s="235">
        <f>Y4*$C$4</f>
        <v>4392976.345597893</v>
      </c>
      <c r="AC4" s="235">
        <f>AA4*$C$4</f>
        <v>4502800.75423784</v>
      </c>
      <c r="AE4" s="235">
        <f>AC4*$C$4</f>
        <v>4615370.7730937852</v>
      </c>
      <c r="AG4" s="235">
        <f>AE4*$C$4</f>
        <v>4730755.0424211295</v>
      </c>
    </row>
    <row r="5" spans="1:34" s="225" customFormat="1" ht="13.8">
      <c r="B5" s="225" t="s">
        <v>849</v>
      </c>
      <c r="C5" s="254">
        <f>IF(Application!$D$211="Special Needs",0.1,0.05)</f>
        <v>0.05</v>
      </c>
      <c r="E5" s="237">
        <f>-E4*$C$5</f>
        <v>-167404.20000000001</v>
      </c>
      <c r="F5" s="237"/>
      <c r="G5" s="237">
        <f>-G4*$C$5</f>
        <v>-171589.30499999999</v>
      </c>
      <c r="H5" s="237"/>
      <c r="I5" s="237">
        <f>-I4*$C$5</f>
        <v>-175879.037625</v>
      </c>
      <c r="J5" s="237"/>
      <c r="K5" s="237">
        <f>-K4*$C$5</f>
        <v>-180276.01356562495</v>
      </c>
      <c r="L5" s="237"/>
      <c r="M5" s="237">
        <f>-M4*$C$5</f>
        <v>-184782.91390476556</v>
      </c>
      <c r="N5" s="237"/>
      <c r="O5" s="237">
        <f>-O4*$C$5</f>
        <v>-189402.48675238469</v>
      </c>
      <c r="P5" s="237"/>
      <c r="Q5" s="237">
        <f>-Q4*$C$5</f>
        <v>-194137.54892119428</v>
      </c>
      <c r="R5" s="237"/>
      <c r="S5" s="237">
        <f>-S4*$C$5</f>
        <v>-198990.98764422414</v>
      </c>
      <c r="T5" s="237"/>
      <c r="U5" s="237">
        <f>-U4*$C$5</f>
        <v>-203965.76233532972</v>
      </c>
      <c r="V5" s="237"/>
      <c r="W5" s="237">
        <f>-W4*$C$5</f>
        <v>-209064.90639371297</v>
      </c>
      <c r="X5" s="237"/>
      <c r="Y5" s="237">
        <f>-Y4*$C$5</f>
        <v>-214291.52905355577</v>
      </c>
      <c r="Z5" s="237"/>
      <c r="AA5" s="237">
        <f>-AA4*$C$5</f>
        <v>-219648.81727989466</v>
      </c>
      <c r="AB5" s="237"/>
      <c r="AC5" s="237">
        <f>-AC4*$C$5</f>
        <v>-225140.03771189202</v>
      </c>
      <c r="AD5" s="237"/>
      <c r="AE5" s="237">
        <f>-AE4*$C$5</f>
        <v>-230768.53865468927</v>
      </c>
      <c r="AF5" s="237"/>
      <c r="AG5" s="237">
        <f>-AG4*$C$5</f>
        <v>-236537.75212105649</v>
      </c>
    </row>
    <row r="6" spans="1:34" s="225" customFormat="1" ht="13.8">
      <c r="A6" s="225" t="s">
        <v>847</v>
      </c>
      <c r="C6" s="253">
        <v>1.0249999999999999</v>
      </c>
      <c r="E6" s="238">
        <f>Application!Z809</f>
        <v>214224</v>
      </c>
      <c r="F6" s="238"/>
      <c r="G6" s="238">
        <f>E6*$C$6</f>
        <v>219579.59999999998</v>
      </c>
      <c r="H6" s="238"/>
      <c r="I6" s="238">
        <f>G6*$C$6</f>
        <v>225069.08999999997</v>
      </c>
      <c r="J6" s="238"/>
      <c r="K6" s="238">
        <f>I6*$C$6</f>
        <v>230695.81724999993</v>
      </c>
      <c r="L6" s="238"/>
      <c r="M6" s="238">
        <f>K6*$C$6</f>
        <v>236463.21268124992</v>
      </c>
      <c r="N6" s="238"/>
      <c r="O6" s="238">
        <f>M6*$C$6</f>
        <v>242374.79299828113</v>
      </c>
      <c r="P6" s="238"/>
      <c r="Q6" s="238">
        <f>O6*$C$6</f>
        <v>248434.16282323815</v>
      </c>
      <c r="R6" s="238"/>
      <c r="S6" s="238">
        <f>Q6*$C$6</f>
        <v>254645.01689381909</v>
      </c>
      <c r="T6" s="238"/>
      <c r="U6" s="238">
        <f>S6*$C$6</f>
        <v>261011.14231616454</v>
      </c>
      <c r="V6" s="238"/>
      <c r="W6" s="238">
        <f>U6*$C$6</f>
        <v>267536.42087406863</v>
      </c>
      <c r="X6" s="238"/>
      <c r="Y6" s="238">
        <f>W6*$C$6</f>
        <v>274224.83139592031</v>
      </c>
      <c r="Z6" s="238"/>
      <c r="AA6" s="238">
        <f>Y6*$C$6</f>
        <v>281080.45218081831</v>
      </c>
      <c r="AB6" s="238"/>
      <c r="AC6" s="238">
        <f>AA6*$C$6</f>
        <v>288107.46348533873</v>
      </c>
      <c r="AD6" s="238"/>
      <c r="AE6" s="238">
        <f>AC6*$C$6</f>
        <v>295310.15007247217</v>
      </c>
      <c r="AF6" s="238"/>
      <c r="AG6" s="238">
        <f>AE6*$C$6</f>
        <v>302692.90382428397</v>
      </c>
    </row>
    <row r="7" spans="1:34" s="225" customFormat="1" ht="13.8">
      <c r="B7" s="225" t="s">
        <v>849</v>
      </c>
      <c r="C7" s="254">
        <f>IF(Application!$D$211="Special Needs",0.1,0.05)</f>
        <v>0.05</v>
      </c>
      <c r="E7" s="237">
        <f>-E6*$C$7</f>
        <v>-10711.2</v>
      </c>
      <c r="F7" s="237"/>
      <c r="G7" s="237">
        <f>-G6*$C$7</f>
        <v>-10978.98</v>
      </c>
      <c r="H7" s="237"/>
      <c r="I7" s="237">
        <f>-I6*$C$7</f>
        <v>-11253.4545</v>
      </c>
      <c r="J7" s="237"/>
      <c r="K7" s="237">
        <f>-K6*$C$7</f>
        <v>-11534.790862499998</v>
      </c>
      <c r="L7" s="237"/>
      <c r="M7" s="237">
        <f>-M6*$C$7</f>
        <v>-11823.160634062497</v>
      </c>
      <c r="N7" s="237"/>
      <c r="O7" s="237">
        <f>-O6*$C$7</f>
        <v>-12118.739649914058</v>
      </c>
      <c r="P7" s="237"/>
      <c r="Q7" s="237">
        <f>-Q6*$C$7</f>
        <v>-12421.708141161907</v>
      </c>
      <c r="R7" s="237"/>
      <c r="S7" s="237">
        <f>-S6*$C$7</f>
        <v>-12732.250844690956</v>
      </c>
      <c r="T7" s="237"/>
      <c r="U7" s="237">
        <f>-U6*$C$7</f>
        <v>-13050.557115808228</v>
      </c>
      <c r="V7" s="237"/>
      <c r="W7" s="237">
        <f>-W6*$C$7</f>
        <v>-13376.821043703432</v>
      </c>
      <c r="X7" s="237"/>
      <c r="Y7" s="237">
        <f>-Y6*$C$7</f>
        <v>-13711.241569796017</v>
      </c>
      <c r="Z7" s="237"/>
      <c r="AA7" s="237">
        <f>-AA6*$C$7</f>
        <v>-14054.022609040916</v>
      </c>
      <c r="AB7" s="237"/>
      <c r="AC7" s="237">
        <f>-AC6*$C$7</f>
        <v>-14405.373174266937</v>
      </c>
      <c r="AD7" s="237"/>
      <c r="AE7" s="237">
        <f>-AE6*$C$7</f>
        <v>-14765.507503623608</v>
      </c>
      <c r="AF7" s="237"/>
      <c r="AG7" s="237">
        <f>-AG6*$C$7</f>
        <v>-15134.6451912142</v>
      </c>
    </row>
    <row r="8" spans="1:34" s="225" customFormat="1" ht="13.8">
      <c r="A8" s="225" t="s">
        <v>289</v>
      </c>
      <c r="C8" s="253">
        <v>1.0249999999999999</v>
      </c>
      <c r="E8" s="238">
        <f>Application!Z817</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3.8">
      <c r="B9" s="225" t="s">
        <v>849</v>
      </c>
      <c r="C9" s="254">
        <f>IF(Application!$D$211="Special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3.8">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870</v>
      </c>
      <c r="C11" s="231"/>
      <c r="E11" s="239">
        <f>SUM(E4:E10)</f>
        <v>3384192.5999999996</v>
      </c>
      <c r="G11" s="239">
        <f>SUM(G4:G10)</f>
        <v>3468797.4149999996</v>
      </c>
      <c r="I11" s="239">
        <f>SUM(I4:I10)</f>
        <v>3555517.3503749995</v>
      </c>
      <c r="K11" s="239">
        <f>SUM(K4:K10)</f>
        <v>3644405.2841343735</v>
      </c>
      <c r="M11" s="239">
        <f>SUM(M4:M10)</f>
        <v>3735515.4162377324</v>
      </c>
      <c r="O11" s="239">
        <f>SUM(O4:O10)</f>
        <v>3828903.3016436757</v>
      </c>
      <c r="Q11" s="239">
        <f>SUM(Q4:Q10)</f>
        <v>3924625.884184767</v>
      </c>
      <c r="S11" s="239">
        <f>SUM(S4:S10)</f>
        <v>4022741.5312893866</v>
      </c>
      <c r="U11" s="239">
        <f>SUM(U4:U10)</f>
        <v>4123310.0695716208</v>
      </c>
      <c r="W11" s="239">
        <f>SUM(W4:W10)</f>
        <v>4226392.8213109113</v>
      </c>
      <c r="Y11" s="239">
        <f>SUM(Y4:Y10)</f>
        <v>4332052.641843684</v>
      </c>
      <c r="AA11" s="239">
        <f>SUM(AA4:AA10)</f>
        <v>4440353.9578897757</v>
      </c>
      <c r="AC11" s="239">
        <f>SUM(AC4:AC10)</f>
        <v>4551362.8068370195</v>
      </c>
      <c r="AE11" s="239">
        <f>SUM(AE4:AE10)</f>
        <v>4665146.8770079445</v>
      </c>
      <c r="AG11" s="239">
        <f>SUM(AG4:AG10)</f>
        <v>4781775.5489331428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852</v>
      </c>
      <c r="C15" s="185"/>
      <c r="E15" s="235">
        <f>Application!W847</f>
        <v>48140</v>
      </c>
      <c r="G15" s="235">
        <f>E15*$C$14</f>
        <v>49824.899999999994</v>
      </c>
      <c r="I15" s="235">
        <f>G15*$C$14</f>
        <v>51568.771499999988</v>
      </c>
      <c r="K15" s="235">
        <f>I15*$C$14</f>
        <v>53373.678502499984</v>
      </c>
      <c r="M15" s="235">
        <f>K15*$C$14</f>
        <v>55241.757250087481</v>
      </c>
      <c r="O15" s="235">
        <f>M15*$C$14</f>
        <v>57175.218753840541</v>
      </c>
      <c r="Q15" s="235">
        <f>O15*$C$14</f>
        <v>59176.351410224954</v>
      </c>
      <c r="S15" s="235">
        <f>Q15*$C$14</f>
        <v>61247.52370958282</v>
      </c>
      <c r="U15" s="235">
        <f>S15*$C$14</f>
        <v>63391.187039418211</v>
      </c>
      <c r="W15" s="235">
        <f>U15*$C$14</f>
        <v>65609.878585797851</v>
      </c>
      <c r="Y15" s="235">
        <f>W15*$C$14</f>
        <v>67906.224336300773</v>
      </c>
      <c r="AA15" s="235">
        <f>Y15*$C$14</f>
        <v>70282.942188071291</v>
      </c>
      <c r="AC15" s="235">
        <f>AA15*$C$14</f>
        <v>72742.845164653787</v>
      </c>
      <c r="AE15" s="235">
        <f>AC15*$C$14</f>
        <v>75288.84474541666</v>
      </c>
      <c r="AG15" s="235">
        <f>AE15*$C$14</f>
        <v>77923.954311506241</v>
      </c>
    </row>
    <row r="16" spans="1:34" s="225" customFormat="1" ht="13.8">
      <c r="A16" s="225" t="s">
        <v>345</v>
      </c>
      <c r="C16" s="249"/>
      <c r="E16" s="238">
        <f>Application!W849</f>
        <v>135368</v>
      </c>
      <c r="F16" s="238"/>
      <c r="G16" s="238">
        <f t="shared" ref="G16:AG21" si="0">E16*$C$14</f>
        <v>140105.87999999998</v>
      </c>
      <c r="H16" s="238"/>
      <c r="I16" s="238">
        <f t="shared" si="0"/>
        <v>145009.58579999997</v>
      </c>
      <c r="J16" s="238"/>
      <c r="K16" s="238">
        <f t="shared" si="0"/>
        <v>150084.92130299995</v>
      </c>
      <c r="L16" s="238"/>
      <c r="M16" s="238">
        <f t="shared" si="0"/>
        <v>155337.89354860494</v>
      </c>
      <c r="N16" s="238"/>
      <c r="O16" s="238">
        <f t="shared" si="0"/>
        <v>160774.7198228061</v>
      </c>
      <c r="P16" s="238"/>
      <c r="Q16" s="238">
        <f t="shared" si="0"/>
        <v>166401.83501660431</v>
      </c>
      <c r="R16" s="238"/>
      <c r="S16" s="238">
        <f t="shared" si="0"/>
        <v>172225.89924218543</v>
      </c>
      <c r="T16" s="238"/>
      <c r="U16" s="238">
        <f t="shared" si="0"/>
        <v>178253.8057156619</v>
      </c>
      <c r="V16" s="238"/>
      <c r="W16" s="238">
        <f t="shared" si="0"/>
        <v>184492.68891571005</v>
      </c>
      <c r="X16" s="238"/>
      <c r="Y16" s="238">
        <f t="shared" si="0"/>
        <v>190949.93302775989</v>
      </c>
      <c r="Z16" s="238"/>
      <c r="AA16" s="238">
        <f t="shared" si="0"/>
        <v>197633.18068373148</v>
      </c>
      <c r="AB16" s="238"/>
      <c r="AC16" s="238">
        <f t="shared" si="0"/>
        <v>204550.34200766205</v>
      </c>
      <c r="AD16" s="238"/>
      <c r="AE16" s="238">
        <f t="shared" si="0"/>
        <v>211709.60397793021</v>
      </c>
      <c r="AF16" s="238"/>
      <c r="AG16" s="238">
        <f t="shared" si="0"/>
        <v>219119.44011715776</v>
      </c>
    </row>
    <row r="17" spans="1:33" s="225" customFormat="1" ht="13.8">
      <c r="A17" s="225" t="s">
        <v>569</v>
      </c>
      <c r="C17" s="249"/>
      <c r="E17" s="238">
        <f>Application!W855</f>
        <v>150000</v>
      </c>
      <c r="F17" s="238"/>
      <c r="G17" s="238">
        <f t="shared" si="0"/>
        <v>155250</v>
      </c>
      <c r="H17" s="238"/>
      <c r="I17" s="238">
        <f t="shared" si="0"/>
        <v>160683.75</v>
      </c>
      <c r="J17" s="238"/>
      <c r="K17" s="238">
        <f t="shared" si="0"/>
        <v>166307.68124999999</v>
      </c>
      <c r="L17" s="238"/>
      <c r="M17" s="238">
        <f t="shared" si="0"/>
        <v>172128.45009374997</v>
      </c>
      <c r="N17" s="238"/>
      <c r="O17" s="238">
        <f t="shared" si="0"/>
        <v>178152.94584703119</v>
      </c>
      <c r="P17" s="238"/>
      <c r="Q17" s="238">
        <f t="shared" si="0"/>
        <v>184388.29895167728</v>
      </c>
      <c r="R17" s="238"/>
      <c r="S17" s="238">
        <f t="shared" si="0"/>
        <v>190841.88941498596</v>
      </c>
      <c r="T17" s="238"/>
      <c r="U17" s="238">
        <f t="shared" si="0"/>
        <v>197521.35554451044</v>
      </c>
      <c r="V17" s="238"/>
      <c r="W17" s="238">
        <f t="shared" si="0"/>
        <v>204434.60298856828</v>
      </c>
      <c r="X17" s="238"/>
      <c r="Y17" s="238">
        <f t="shared" si="0"/>
        <v>211589.81409316816</v>
      </c>
      <c r="Z17" s="238"/>
      <c r="AA17" s="238">
        <f t="shared" si="0"/>
        <v>218995.45758642902</v>
      </c>
      <c r="AB17" s="238"/>
      <c r="AC17" s="238">
        <f t="shared" si="0"/>
        <v>226660.29860195401</v>
      </c>
      <c r="AD17" s="238"/>
      <c r="AE17" s="238">
        <f t="shared" si="0"/>
        <v>234593.40905302239</v>
      </c>
      <c r="AF17" s="238"/>
      <c r="AG17" s="238">
        <f t="shared" si="0"/>
        <v>242804.17836987815</v>
      </c>
    </row>
    <row r="18" spans="1:33" s="225" customFormat="1" ht="13.8">
      <c r="A18" s="225" t="s">
        <v>853</v>
      </c>
      <c r="C18" s="249"/>
      <c r="E18" s="238">
        <f>Application!W862</f>
        <v>337500</v>
      </c>
      <c r="F18" s="238"/>
      <c r="G18" s="238">
        <f t="shared" si="0"/>
        <v>349312.5</v>
      </c>
      <c r="H18" s="238"/>
      <c r="I18" s="238">
        <f t="shared" si="0"/>
        <v>361538.4375</v>
      </c>
      <c r="J18" s="238"/>
      <c r="K18" s="238">
        <f t="shared" si="0"/>
        <v>374192.28281249997</v>
      </c>
      <c r="L18" s="238"/>
      <c r="M18" s="238">
        <f t="shared" si="0"/>
        <v>387289.01271093742</v>
      </c>
      <c r="N18" s="238"/>
      <c r="O18" s="238">
        <f t="shared" si="0"/>
        <v>400844.12815582019</v>
      </c>
      <c r="P18" s="238"/>
      <c r="Q18" s="238">
        <f t="shared" si="0"/>
        <v>414873.67264127388</v>
      </c>
      <c r="R18" s="238"/>
      <c r="S18" s="238">
        <f t="shared" si="0"/>
        <v>429394.25118371844</v>
      </c>
      <c r="T18" s="238"/>
      <c r="U18" s="238">
        <f t="shared" si="0"/>
        <v>444423.04997514858</v>
      </c>
      <c r="V18" s="238"/>
      <c r="W18" s="238">
        <f t="shared" si="0"/>
        <v>459977.85672427877</v>
      </c>
      <c r="X18" s="238"/>
      <c r="Y18" s="238">
        <f t="shared" si="0"/>
        <v>476077.08170962852</v>
      </c>
      <c r="Z18" s="238"/>
      <c r="AA18" s="238">
        <f t="shared" si="0"/>
        <v>492739.77956946549</v>
      </c>
      <c r="AB18" s="238"/>
      <c r="AC18" s="238">
        <f t="shared" si="0"/>
        <v>509985.67185439676</v>
      </c>
      <c r="AD18" s="238"/>
      <c r="AE18" s="238">
        <f t="shared" si="0"/>
        <v>527835.17036930064</v>
      </c>
      <c r="AF18" s="238"/>
      <c r="AG18" s="238">
        <f t="shared" si="0"/>
        <v>546309.40133222612</v>
      </c>
    </row>
    <row r="19" spans="1:33" s="225" customFormat="1" ht="13.8">
      <c r="A19" s="225" t="s">
        <v>155</v>
      </c>
      <c r="C19" s="249"/>
      <c r="E19" s="238">
        <f>Application!W863</f>
        <v>157700</v>
      </c>
      <c r="F19" s="238"/>
      <c r="G19" s="238">
        <f t="shared" si="0"/>
        <v>163219.5</v>
      </c>
      <c r="H19" s="238"/>
      <c r="I19" s="238">
        <f t="shared" si="0"/>
        <v>168932.1825</v>
      </c>
      <c r="J19" s="238"/>
      <c r="K19" s="238">
        <f t="shared" si="0"/>
        <v>174844.8088875</v>
      </c>
      <c r="L19" s="238"/>
      <c r="M19" s="238">
        <f t="shared" si="0"/>
        <v>180964.37719856249</v>
      </c>
      <c r="N19" s="238"/>
      <c r="O19" s="238">
        <f t="shared" si="0"/>
        <v>187298.13040051216</v>
      </c>
      <c r="P19" s="238"/>
      <c r="Q19" s="238">
        <f t="shared" si="0"/>
        <v>193853.56496453009</v>
      </c>
      <c r="R19" s="238"/>
      <c r="S19" s="238">
        <f t="shared" si="0"/>
        <v>200638.43973828864</v>
      </c>
      <c r="T19" s="238"/>
      <c r="U19" s="238">
        <f t="shared" si="0"/>
        <v>207660.78512912872</v>
      </c>
      <c r="V19" s="238"/>
      <c r="W19" s="238">
        <f t="shared" si="0"/>
        <v>214928.91260864821</v>
      </c>
      <c r="X19" s="238"/>
      <c r="Y19" s="238">
        <f t="shared" si="0"/>
        <v>222451.4245499509</v>
      </c>
      <c r="Z19" s="238"/>
      <c r="AA19" s="238">
        <f t="shared" si="0"/>
        <v>230237.22440919917</v>
      </c>
      <c r="AB19" s="238"/>
      <c r="AC19" s="238">
        <f t="shared" si="0"/>
        <v>238295.52726352113</v>
      </c>
      <c r="AD19" s="238"/>
      <c r="AE19" s="238">
        <f t="shared" si="0"/>
        <v>246635.87071774434</v>
      </c>
      <c r="AF19" s="238"/>
      <c r="AG19" s="238">
        <f t="shared" si="0"/>
        <v>255268.12619286537</v>
      </c>
    </row>
    <row r="20" spans="1:33" s="225" customFormat="1" ht="13.8">
      <c r="A20" s="225" t="s">
        <v>391</v>
      </c>
      <c r="C20" s="249"/>
      <c r="E20" s="238">
        <f>Application!W872</f>
        <v>159590</v>
      </c>
      <c r="F20" s="238"/>
      <c r="G20" s="238">
        <f t="shared" si="0"/>
        <v>165175.65</v>
      </c>
      <c r="H20" s="238"/>
      <c r="I20" s="238">
        <f t="shared" si="0"/>
        <v>170956.79774999997</v>
      </c>
      <c r="J20" s="238"/>
      <c r="K20" s="238">
        <f t="shared" si="0"/>
        <v>176940.28567124996</v>
      </c>
      <c r="L20" s="238"/>
      <c r="M20" s="238">
        <f t="shared" si="0"/>
        <v>183133.1956697437</v>
      </c>
      <c r="N20" s="238"/>
      <c r="O20" s="238">
        <f t="shared" si="0"/>
        <v>189542.85751818473</v>
      </c>
      <c r="P20" s="238"/>
      <c r="Q20" s="238">
        <f t="shared" si="0"/>
        <v>196176.85753132118</v>
      </c>
      <c r="R20" s="238"/>
      <c r="S20" s="238">
        <f t="shared" si="0"/>
        <v>203043.04754491741</v>
      </c>
      <c r="T20" s="238"/>
      <c r="U20" s="238">
        <f t="shared" si="0"/>
        <v>210149.55420898952</v>
      </c>
      <c r="V20" s="238"/>
      <c r="W20" s="238">
        <f t="shared" si="0"/>
        <v>217504.78860630412</v>
      </c>
      <c r="X20" s="238"/>
      <c r="Y20" s="238">
        <f t="shared" si="0"/>
        <v>225117.45620752475</v>
      </c>
      <c r="Z20" s="238"/>
      <c r="AA20" s="238">
        <f t="shared" si="0"/>
        <v>232996.5671747881</v>
      </c>
      <c r="AB20" s="238"/>
      <c r="AC20" s="238">
        <f t="shared" si="0"/>
        <v>241151.44702590565</v>
      </c>
      <c r="AD20" s="238"/>
      <c r="AE20" s="238">
        <f t="shared" si="0"/>
        <v>249591.74767181234</v>
      </c>
      <c r="AF20" s="238"/>
      <c r="AG20" s="238">
        <f t="shared" si="0"/>
        <v>258327.45884032574</v>
      </c>
    </row>
    <row r="21" spans="1:33" s="225" customFormat="1" ht="13.8">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854</v>
      </c>
      <c r="C22" s="249"/>
      <c r="E22" s="239">
        <f>SUM(E15:E21)</f>
        <v>988298</v>
      </c>
      <c r="G22" s="239">
        <f>SUM(G15:G21)</f>
        <v>1022888.43</v>
      </c>
      <c r="I22" s="239">
        <f>SUM(I15:I21)</f>
        <v>1058689.5250500001</v>
      </c>
      <c r="K22" s="239">
        <f>SUM(K15:K21)</f>
        <v>1095743.65842675</v>
      </c>
      <c r="M22" s="239">
        <f>SUM(M15:M21)</f>
        <v>1134094.686471686</v>
      </c>
      <c r="O22" s="239">
        <f>SUM(O15:O21)</f>
        <v>1173788.0004981949</v>
      </c>
      <c r="Q22" s="239">
        <f>SUM(Q15:Q21)</f>
        <v>1214870.5805156317</v>
      </c>
      <c r="S22" s="239">
        <f>SUM(S15:S21)</f>
        <v>1257391.0508336786</v>
      </c>
      <c r="U22" s="239">
        <f>SUM(U15:U21)</f>
        <v>1301399.7376128573</v>
      </c>
      <c r="W22" s="239">
        <f>SUM(W15:W21)</f>
        <v>1346948.7284293075</v>
      </c>
      <c r="Y22" s="239">
        <f>SUM(Y15:Y21)</f>
        <v>1394091.933924333</v>
      </c>
      <c r="AA22" s="239">
        <f>SUM(AA15:AA21)</f>
        <v>1442885.1516116846</v>
      </c>
      <c r="AC22" s="239">
        <f>SUM(AC15:AC21)</f>
        <v>1493386.1319180934</v>
      </c>
      <c r="AE22" s="239">
        <f>SUM(AE15:AE21)</f>
        <v>1545654.6465352266</v>
      </c>
      <c r="AG22" s="239">
        <f>SUM(AG15:AG21)</f>
        <v>1599752.5591639595</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1868</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856</v>
      </c>
      <c r="C27" s="253">
        <v>1.0349999999999999</v>
      </c>
      <c r="E27" s="238">
        <f>Application!AC888</f>
        <v>35000</v>
      </c>
      <c r="F27" s="238"/>
      <c r="G27" s="238">
        <f>E27*$C$27</f>
        <v>36225</v>
      </c>
      <c r="H27" s="238"/>
      <c r="I27" s="238">
        <f>G27*$C$27</f>
        <v>37492.875</v>
      </c>
      <c r="J27" s="238"/>
      <c r="K27" s="238">
        <f>I27*$C$27</f>
        <v>38805.125625000001</v>
      </c>
      <c r="L27" s="238"/>
      <c r="M27" s="238">
        <f>K27*$C$27</f>
        <v>40163.305021875</v>
      </c>
      <c r="N27" s="238"/>
      <c r="O27" s="238">
        <f>M27*$C$27</f>
        <v>41569.020697640619</v>
      </c>
      <c r="P27" s="238"/>
      <c r="Q27" s="238">
        <f>O27*$C$27</f>
        <v>43023.936422058039</v>
      </c>
      <c r="R27" s="238"/>
      <c r="S27" s="238">
        <f>Q27*$C$27</f>
        <v>44529.774196830069</v>
      </c>
      <c r="T27" s="238"/>
      <c r="U27" s="238">
        <f>S27*$C$27</f>
        <v>46088.316293719115</v>
      </c>
      <c r="V27" s="238"/>
      <c r="W27" s="238">
        <f>U27*$C$27</f>
        <v>47701.407363999278</v>
      </c>
      <c r="X27" s="238"/>
      <c r="Y27" s="238">
        <f>W27*$C$27</f>
        <v>49370.956621739249</v>
      </c>
      <c r="Z27" s="238"/>
      <c r="AA27" s="238">
        <f>Y27*$C$27</f>
        <v>51098.940103500121</v>
      </c>
      <c r="AB27" s="238"/>
      <c r="AC27" s="238">
        <f>AA27*$C$27</f>
        <v>52887.403007122623</v>
      </c>
      <c r="AD27" s="238"/>
      <c r="AE27" s="238">
        <f>AC27*$C$27</f>
        <v>54738.462112371912</v>
      </c>
      <c r="AF27" s="238"/>
      <c r="AG27" s="238">
        <f>AE27*$C$27</f>
        <v>56654.308286304928</v>
      </c>
    </row>
    <row r="28" spans="1:33" s="225" customFormat="1" ht="13.8">
      <c r="A28" s="225" t="s">
        <v>857</v>
      </c>
      <c r="C28" s="253"/>
      <c r="E28" s="238">
        <f>Application!AC889</f>
        <v>49800</v>
      </c>
      <c r="F28" s="238"/>
      <c r="G28" s="238">
        <f>$E$28</f>
        <v>49800</v>
      </c>
      <c r="H28" s="238"/>
      <c r="I28" s="238">
        <f>$E$28</f>
        <v>49800</v>
      </c>
      <c r="J28" s="238"/>
      <c r="K28" s="238">
        <f>$E$28</f>
        <v>49800</v>
      </c>
      <c r="L28" s="238"/>
      <c r="M28" s="238">
        <f>$E$28</f>
        <v>49800</v>
      </c>
      <c r="N28" s="238"/>
      <c r="O28" s="238">
        <f>$E$28</f>
        <v>49800</v>
      </c>
      <c r="P28" s="238"/>
      <c r="Q28" s="238">
        <f>$E$28</f>
        <v>49800</v>
      </c>
      <c r="R28" s="238"/>
      <c r="S28" s="238">
        <f>$E$28</f>
        <v>49800</v>
      </c>
      <c r="T28" s="238"/>
      <c r="U28" s="238">
        <f>$E$28</f>
        <v>49800</v>
      </c>
      <c r="V28" s="238"/>
      <c r="W28" s="238">
        <f>$E$28</f>
        <v>49800</v>
      </c>
      <c r="X28" s="238"/>
      <c r="Y28" s="238">
        <f>$E$28</f>
        <v>49800</v>
      </c>
      <c r="Z28" s="238"/>
      <c r="AA28" s="238">
        <f>$E$28</f>
        <v>49800</v>
      </c>
      <c r="AB28" s="238"/>
      <c r="AC28" s="238">
        <f>$E$28</f>
        <v>49800</v>
      </c>
      <c r="AD28" s="238"/>
      <c r="AE28" s="238">
        <f>$E$28</f>
        <v>49800</v>
      </c>
      <c r="AF28" s="238"/>
      <c r="AG28" s="238">
        <f>$E$28</f>
        <v>49800</v>
      </c>
    </row>
    <row r="29" spans="1:33" s="225" customFormat="1" ht="13.8">
      <c r="A29" s="225" t="s">
        <v>1866</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855</v>
      </c>
      <c r="C30" s="253">
        <v>1.02</v>
      </c>
      <c r="E30" s="238">
        <f>Application!AC891</f>
        <v>3320</v>
      </c>
      <c r="F30" s="238"/>
      <c r="G30" s="238">
        <f>E30*$C$30</f>
        <v>3386.4</v>
      </c>
      <c r="H30" s="238"/>
      <c r="I30" s="238">
        <f>G30*$C$30</f>
        <v>3454.1280000000002</v>
      </c>
      <c r="J30" s="238"/>
      <c r="K30" s="238">
        <f>I30*$C$30</f>
        <v>3523.2105600000004</v>
      </c>
      <c r="L30" s="238"/>
      <c r="M30" s="238">
        <f>K30*$C$30</f>
        <v>3593.6747712000006</v>
      </c>
      <c r="N30" s="238"/>
      <c r="O30" s="238">
        <f>M30*$C$30</f>
        <v>3665.5482666240005</v>
      </c>
      <c r="P30" s="238"/>
      <c r="Q30" s="238">
        <f>O30*$C$30</f>
        <v>3738.8592319564805</v>
      </c>
      <c r="R30" s="238"/>
      <c r="S30" s="238">
        <f>Q30*$C$30</f>
        <v>3813.6364165956102</v>
      </c>
      <c r="T30" s="238"/>
      <c r="U30" s="238">
        <f>S30*$C$30</f>
        <v>3889.9091449275224</v>
      </c>
      <c r="V30" s="238"/>
      <c r="W30" s="238">
        <f>U30*$C$30</f>
        <v>3967.7073278260727</v>
      </c>
      <c r="X30" s="238"/>
      <c r="Y30" s="238">
        <f>W30*$C$30</f>
        <v>4047.061474382594</v>
      </c>
      <c r="Z30" s="238"/>
      <c r="AA30" s="238">
        <f>Y30*$C$30</f>
        <v>4128.0027038702456</v>
      </c>
      <c r="AB30" s="238"/>
      <c r="AC30" s="238">
        <f>AA30*$C$30</f>
        <v>4210.5627579476504</v>
      </c>
      <c r="AD30" s="238"/>
      <c r="AE30" s="238">
        <f>AC30*$C$30</f>
        <v>4294.7740131066039</v>
      </c>
      <c r="AF30" s="238"/>
      <c r="AG30" s="238">
        <f>AE30*$C$30</f>
        <v>4380.6694933687359</v>
      </c>
    </row>
    <row r="31" spans="1:33" s="225" customFormat="1" ht="13.8">
      <c r="A31" s="225" t="s">
        <v>1867</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1076418</v>
      </c>
      <c r="G35" s="239">
        <f>SUM(G22:G33)</f>
        <v>1112299.83</v>
      </c>
      <c r="I35" s="239">
        <f>SUM(I22:I33)</f>
        <v>1149436.5280500001</v>
      </c>
      <c r="K35" s="239">
        <f>SUM(K22:K33)</f>
        <v>1187871.9946117501</v>
      </c>
      <c r="M35" s="239">
        <f>SUM(M22:M33)</f>
        <v>1227651.666264761</v>
      </c>
      <c r="O35" s="239">
        <f>SUM(O22:O33)</f>
        <v>1268822.5694624598</v>
      </c>
      <c r="Q35" s="239">
        <f>SUM(Q22:Q33)</f>
        <v>1311433.3761696464</v>
      </c>
      <c r="S35" s="239">
        <f>SUM(S22:S33)</f>
        <v>1355534.4614471043</v>
      </c>
      <c r="U35" s="239">
        <f>SUM(U22:U33)</f>
        <v>1401177.963051504</v>
      </c>
      <c r="W35" s="239">
        <f>SUM(W22:W33)</f>
        <v>1448417.8431211328</v>
      </c>
      <c r="Y35" s="239">
        <f>SUM(Y22:Y33)</f>
        <v>1497309.9520204549</v>
      </c>
      <c r="AA35" s="239">
        <f>SUM(AA22:AA33)</f>
        <v>1547912.0944190549</v>
      </c>
      <c r="AC35" s="239">
        <f>SUM(AC22:AC33)</f>
        <v>1600284.0976831638</v>
      </c>
      <c r="AE35" s="239">
        <f>SUM(AE22:AE33)</f>
        <v>1654487.8826607051</v>
      </c>
      <c r="AG35" s="239">
        <f>SUM(AG22:AG33)</f>
        <v>1710587.5369436331</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858</v>
      </c>
      <c r="C37" s="240"/>
      <c r="E37" s="239">
        <f>E11-E35</f>
        <v>2307774.5999999996</v>
      </c>
      <c r="G37" s="239">
        <f>G11-G35</f>
        <v>2356497.5849999995</v>
      </c>
      <c r="I37" s="239">
        <f>I11-I35</f>
        <v>2406080.8223249996</v>
      </c>
      <c r="K37" s="239">
        <f>K11-K35</f>
        <v>2456533.2895226236</v>
      </c>
      <c r="M37" s="239">
        <f>M11-M35</f>
        <v>2507863.7499729712</v>
      </c>
      <c r="O37" s="239">
        <f>O11-O35</f>
        <v>2560080.7321812157</v>
      </c>
      <c r="Q37" s="239">
        <f>Q11-Q35</f>
        <v>2613192.5080151204</v>
      </c>
      <c r="S37" s="239">
        <f>S11-S35</f>
        <v>2667207.0698422822</v>
      </c>
      <c r="U37" s="239">
        <f>U11-U35</f>
        <v>2722132.1065201168</v>
      </c>
      <c r="W37" s="239">
        <f>W11-W35</f>
        <v>2777974.9781897785</v>
      </c>
      <c r="Y37" s="239">
        <f>Y11-Y35</f>
        <v>2834742.6898232289</v>
      </c>
      <c r="AA37" s="239">
        <f>AA11-AA35</f>
        <v>2892441.8634707211</v>
      </c>
      <c r="AC37" s="239">
        <f>AC11-AC35</f>
        <v>2951078.7091538557</v>
      </c>
      <c r="AE37" s="239">
        <f>AE11-AE35</f>
        <v>3010658.9943472394</v>
      </c>
      <c r="AG37" s="239">
        <f>AG11-AG35</f>
        <v>3071188.0119895097</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Tax Exempt Bonds Permanent Loan</v>
      </c>
      <c r="B40" s="242"/>
      <c r="C40" s="236"/>
      <c r="E40" s="238">
        <f>Application!AF627</f>
        <v>1928044</v>
      </c>
      <c r="F40" s="238"/>
      <c r="G40" s="238">
        <f>$E$40</f>
        <v>1928044</v>
      </c>
      <c r="H40" s="238"/>
      <c r="I40" s="238">
        <f>$E$40</f>
        <v>1928044</v>
      </c>
      <c r="J40" s="238"/>
      <c r="K40" s="238">
        <f>$E$40</f>
        <v>1928044</v>
      </c>
      <c r="L40" s="238"/>
      <c r="M40" s="238">
        <f>$E$40</f>
        <v>1928044</v>
      </c>
      <c r="N40" s="238"/>
      <c r="O40" s="238">
        <f>$E$40</f>
        <v>1928044</v>
      </c>
      <c r="P40" s="238"/>
      <c r="Q40" s="238">
        <f>$E$40</f>
        <v>1928044</v>
      </c>
      <c r="R40" s="238"/>
      <c r="S40" s="238">
        <f>$E$40</f>
        <v>1928044</v>
      </c>
      <c r="T40" s="238"/>
      <c r="U40" s="238">
        <f>$E$40</f>
        <v>1928044</v>
      </c>
      <c r="V40" s="238"/>
      <c r="W40" s="238">
        <f>$E$40</f>
        <v>1928044</v>
      </c>
      <c r="X40" s="238"/>
      <c r="Y40" s="238">
        <f>$E$40</f>
        <v>1928044</v>
      </c>
      <c r="Z40" s="238"/>
      <c r="AA40" s="238">
        <f>$E$40</f>
        <v>1928044</v>
      </c>
      <c r="AB40" s="238"/>
      <c r="AC40" s="238">
        <f>$E$40</f>
        <v>1928044</v>
      </c>
      <c r="AD40" s="238"/>
      <c r="AE40" s="238">
        <f>$E$40</f>
        <v>1928044</v>
      </c>
      <c r="AF40" s="238"/>
      <c r="AG40" s="238">
        <f>$E$40</f>
        <v>1928044</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859</v>
      </c>
      <c r="C43" s="240"/>
      <c r="E43" s="239">
        <f>SUM(E40:E42)</f>
        <v>1928044</v>
      </c>
      <c r="G43" s="239">
        <f>SUM(G40:G42)</f>
        <v>1928044</v>
      </c>
      <c r="I43" s="239">
        <f>SUM(I40:I42)</f>
        <v>1928044</v>
      </c>
      <c r="K43" s="239">
        <f>SUM(K40:K42)</f>
        <v>1928044</v>
      </c>
      <c r="M43" s="239">
        <f>SUM(M40:M42)</f>
        <v>1928044</v>
      </c>
      <c r="O43" s="239">
        <f>SUM(O40:O42)</f>
        <v>1928044</v>
      </c>
      <c r="Q43" s="239">
        <f>SUM(Q40:Q42)</f>
        <v>1928044</v>
      </c>
      <c r="S43" s="239">
        <f>SUM(S40:S42)</f>
        <v>1928044</v>
      </c>
      <c r="U43" s="239">
        <f>SUM(U40:U42)</f>
        <v>1928044</v>
      </c>
      <c r="W43" s="239">
        <f>SUM(W40:W42)</f>
        <v>1928044</v>
      </c>
      <c r="Y43" s="239">
        <f>SUM(Y40:Y42)</f>
        <v>1928044</v>
      </c>
      <c r="AA43" s="239">
        <f>SUM(AA40:AA42)</f>
        <v>1928044</v>
      </c>
      <c r="AC43" s="239">
        <f>SUM(AC40:AC42)</f>
        <v>1928044</v>
      </c>
      <c r="AE43" s="239">
        <f>SUM(AE40:AE42)</f>
        <v>1928044</v>
      </c>
      <c r="AG43" s="239">
        <f>SUM(AG40:AG42)</f>
        <v>1928044</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860</v>
      </c>
      <c r="C45" s="240"/>
      <c r="E45" s="239">
        <f>E37-E43</f>
        <v>379730.59999999963</v>
      </c>
      <c r="G45" s="239">
        <f>G37-G43</f>
        <v>428453.5849999995</v>
      </c>
      <c r="I45" s="239">
        <f>I37-I43</f>
        <v>478036.82232499961</v>
      </c>
      <c r="K45" s="239">
        <f>K37-K43</f>
        <v>528489.28952262364</v>
      </c>
      <c r="M45" s="239">
        <f>M37-M43</f>
        <v>579819.74997297116</v>
      </c>
      <c r="O45" s="239">
        <f>O37-O43</f>
        <v>632036.73218121566</v>
      </c>
      <c r="Q45" s="239">
        <f>Q37-Q43</f>
        <v>685148.5080151204</v>
      </c>
      <c r="S45" s="239">
        <f>S37-S43</f>
        <v>739163.06984228222</v>
      </c>
      <c r="U45" s="239">
        <f>U37-U43</f>
        <v>794088.10652011679</v>
      </c>
      <c r="W45" s="239">
        <f>W37-W43</f>
        <v>849930.97818977851</v>
      </c>
      <c r="Y45" s="239">
        <f>Y37-Y43</f>
        <v>906698.68982322887</v>
      </c>
      <c r="AA45" s="239">
        <f>AA37-AA43</f>
        <v>964397.86347072106</v>
      </c>
      <c r="AC45" s="239">
        <f>AC37-AC43</f>
        <v>1023034.7091538557</v>
      </c>
      <c r="AE45" s="239">
        <f>AE37-AE43</f>
        <v>1082614.9943472394</v>
      </c>
      <c r="AG45" s="239">
        <f>AG37-AG43</f>
        <v>1143144.0119895097</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862</v>
      </c>
      <c r="C47" s="236"/>
      <c r="E47" s="243">
        <f>E45/(E4+E6+E8)</f>
        <v>0.10659679062001366</v>
      </c>
      <c r="G47" s="243">
        <f>G45/(G4+G6+G8)</f>
        <v>0.11734063914770287</v>
      </c>
      <c r="I47" s="243">
        <f>I45/(I4+I6+I8)</f>
        <v>0.12772683591625622</v>
      </c>
      <c r="K47" s="243">
        <f>K45/(K4+K6+K8)</f>
        <v>0.13776317009312641</v>
      </c>
      <c r="M47" s="243">
        <f>M45/(M4+M6+M8)</f>
        <v>0.14745723175975969</v>
      </c>
      <c r="O47" s="243">
        <f>O45/(O4+O6+O8)</f>
        <v>0.15681641667847801</v>
      </c>
      <c r="Q47" s="243">
        <f>Q45/(Q4+Q6+Q8)</f>
        <v>0.16584793094223019</v>
      </c>
      <c r="S47" s="243">
        <f>S45/(S4+S6+S8)</f>
        <v>0.17455879551005959</v>
      </c>
      <c r="U47" s="243">
        <f>U45/(U4+U6+U8)</f>
        <v>0.18295585063106481</v>
      </c>
      <c r="W47" s="243">
        <f>W45/(W4+W6+W8)</f>
        <v>0.19104576015956926</v>
      </c>
      <c r="Y47" s="243">
        <f>Y45/(Y4+Y6+Y8)</f>
        <v>0.19883501576413867</v>
      </c>
      <c r="AA47" s="243">
        <f>AA45/(AA4+AA6+AA8)</f>
        <v>0.20632994103303137</v>
      </c>
      <c r="AC47" s="243">
        <f>AC45/(AC4+AC6+AC8)</f>
        <v>0.21353669547859561</v>
      </c>
      <c r="AE47" s="243">
        <f>AE45/(AE4+AE6+AE8)</f>
        <v>0.22046127844307226</v>
      </c>
      <c r="AG47" s="243">
        <f>AG45/(AG4+AG6+AG8)</f>
        <v>0.22710953290819511</v>
      </c>
    </row>
    <row r="48" spans="1:33" s="243" customFormat="1" ht="13.8">
      <c r="A48" s="243" t="s">
        <v>863</v>
      </c>
      <c r="C48" s="236"/>
      <c r="E48" s="243">
        <f>E45/E43</f>
        <v>0.19695121065701801</v>
      </c>
      <c r="G48" s="243">
        <f>G45/G43</f>
        <v>0.22222189172031317</v>
      </c>
      <c r="I48" s="243">
        <f>I45/I43</f>
        <v>0.24793875156635409</v>
      </c>
      <c r="K48" s="243">
        <f>K45/K43</f>
        <v>0.27410644649324584</v>
      </c>
      <c r="M48" s="243">
        <f>M45/M43</f>
        <v>0.30072952171888773</v>
      </c>
      <c r="O48" s="243">
        <f>O45/O43</f>
        <v>0.32781240064086486</v>
      </c>
      <c r="Q48" s="243">
        <f>Q45/Q43</f>
        <v>0.35535937354911007</v>
      </c>
      <c r="S48" s="243">
        <f>S45/S43</f>
        <v>0.38337458576789857</v>
      </c>
      <c r="U48" s="243">
        <f>U45/U43</f>
        <v>0.4118620252028049</v>
      </c>
      <c r="W48" s="243">
        <f>W45/W43</f>
        <v>0.44082550926730846</v>
      </c>
      <c r="Y48" s="243">
        <f>Y45/Y43</f>
        <v>0.47026867116270626</v>
      </c>
      <c r="AA48" s="243">
        <f>AA45/AA43</f>
        <v>0.50019494548398324</v>
      </c>
      <c r="AC48" s="243">
        <f>AC45/AC43</f>
        <v>0.53060755312319408</v>
      </c>
      <c r="AE48" s="243">
        <f>AE45/AE43</f>
        <v>0.56150948544080914</v>
      </c>
      <c r="AG48" s="243">
        <f>AG45/AG43</f>
        <v>0.59290348767430079</v>
      </c>
    </row>
    <row r="49" spans="1:35" s="244" customFormat="1" ht="13.8">
      <c r="A49" s="244" t="s">
        <v>861</v>
      </c>
      <c r="C49" s="245"/>
      <c r="E49" s="244">
        <f>E37/E43</f>
        <v>1.1969512106570179</v>
      </c>
      <c r="G49" s="244">
        <f>G37/G43</f>
        <v>1.2222218917203131</v>
      </c>
      <c r="I49" s="244">
        <f>I37/I43</f>
        <v>1.247938751566354</v>
      </c>
      <c r="K49" s="244">
        <f>K37/K43</f>
        <v>1.2741064464932459</v>
      </c>
      <c r="M49" s="244">
        <f>M37/M43</f>
        <v>1.3007295217188877</v>
      </c>
      <c r="O49" s="244">
        <f>O37/O43</f>
        <v>1.3278124006408649</v>
      </c>
      <c r="Q49" s="244">
        <f>Q37/Q43</f>
        <v>1.3553593735491101</v>
      </c>
      <c r="S49" s="244">
        <f>S37/S43</f>
        <v>1.3833745857678985</v>
      </c>
      <c r="U49" s="244">
        <f>U37/U43</f>
        <v>1.4118620252028049</v>
      </c>
      <c r="W49" s="244">
        <f>W37/W43</f>
        <v>1.4408255092673086</v>
      </c>
      <c r="Y49" s="244">
        <f>Y37/Y43</f>
        <v>1.4702686711627062</v>
      </c>
      <c r="AA49" s="244">
        <f>AA37/AA43</f>
        <v>1.5001949454839834</v>
      </c>
      <c r="AC49" s="244">
        <f>AC37/AC43</f>
        <v>1.5306075531231942</v>
      </c>
      <c r="AE49" s="244">
        <f>AE37/AE43</f>
        <v>1.5615094854408091</v>
      </c>
      <c r="AG49" s="244">
        <f>AG37/AG43</f>
        <v>1.5929034876743009</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2765</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19920</v>
      </c>
      <c r="G53" s="995">
        <f>E53*$C$53</f>
        <v>20517.600000000002</v>
      </c>
      <c r="I53" s="995">
        <f>G53*$C$53</f>
        <v>21133.128000000004</v>
      </c>
      <c r="K53" s="995">
        <f>I53*$C$53</f>
        <v>21767.121840000003</v>
      </c>
      <c r="M53" s="995">
        <f>K53*$C$53</f>
        <v>22420.135495200004</v>
      </c>
      <c r="O53" s="995">
        <f>M53*$C$53</f>
        <v>23092.739560056005</v>
      </c>
      <c r="Q53" s="995">
        <f>O53*$C$53</f>
        <v>23785.521746857685</v>
      </c>
      <c r="S53" s="995">
        <f>Q53*$C$53</f>
        <v>24499.087399263415</v>
      </c>
      <c r="U53" s="995">
        <f>S53*$C$53</f>
        <v>25234.060021241319</v>
      </c>
      <c r="W53" s="995">
        <f>U53*$C$53</f>
        <v>25991.081821878561</v>
      </c>
      <c r="Y53" s="995">
        <f>W53*$C$53</f>
        <v>26770.814276534918</v>
      </c>
      <c r="AA53" s="995">
        <f>Y53*$C$53</f>
        <v>27573.938704830965</v>
      </c>
      <c r="AC53" s="995">
        <f>AA53*$C$53</f>
        <v>28401.156865975896</v>
      </c>
      <c r="AE53" s="995">
        <f>AC53*$C$53</f>
        <v>29253.191571955173</v>
      </c>
      <c r="AG53" s="995">
        <f>AE53*$C$53</f>
        <v>30130.787319113828</v>
      </c>
    </row>
    <row r="54" spans="1:35" s="3" customFormat="1">
      <c r="A54" s="3" t="s">
        <v>866</v>
      </c>
      <c r="C54" s="993"/>
      <c r="E54" s="1000">
        <v>7500</v>
      </c>
      <c r="F54" s="995"/>
      <c r="G54" s="995">
        <f t="shared" ref="G54:AG57" si="1">E54*$C$53</f>
        <v>7725</v>
      </c>
      <c r="H54" s="995"/>
      <c r="I54" s="995">
        <f t="shared" si="1"/>
        <v>7956.75</v>
      </c>
      <c r="J54" s="995"/>
      <c r="K54" s="995">
        <f t="shared" si="1"/>
        <v>8195.4524999999994</v>
      </c>
      <c r="L54" s="995"/>
      <c r="M54" s="995">
        <f t="shared" si="1"/>
        <v>8441.3160749999988</v>
      </c>
      <c r="N54" s="995"/>
      <c r="O54" s="995">
        <f t="shared" si="1"/>
        <v>8694.5555572499998</v>
      </c>
      <c r="P54" s="995"/>
      <c r="Q54" s="995">
        <f t="shared" si="1"/>
        <v>8955.3922239674994</v>
      </c>
      <c r="R54" s="995"/>
      <c r="S54" s="995">
        <f t="shared" si="1"/>
        <v>9224.0539906865251</v>
      </c>
      <c r="T54" s="995"/>
      <c r="U54" s="995">
        <f t="shared" si="1"/>
        <v>9500.7756104071213</v>
      </c>
      <c r="V54" s="995"/>
      <c r="W54" s="995">
        <f t="shared" si="1"/>
        <v>9785.7988787193353</v>
      </c>
      <c r="X54" s="995"/>
      <c r="Y54" s="995">
        <f t="shared" si="1"/>
        <v>10079.372845080916</v>
      </c>
      <c r="Z54" s="995"/>
      <c r="AA54" s="995">
        <f t="shared" si="1"/>
        <v>10381.754030433343</v>
      </c>
      <c r="AB54" s="995"/>
      <c r="AC54" s="995">
        <f t="shared" si="1"/>
        <v>10693.206651346343</v>
      </c>
      <c r="AD54" s="995"/>
      <c r="AE54" s="995">
        <f t="shared" si="1"/>
        <v>11014.002850886734</v>
      </c>
      <c r="AF54" s="995"/>
      <c r="AG54" s="995">
        <f t="shared" si="1"/>
        <v>11344.422936413337</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27420</v>
      </c>
      <c r="F58" s="995"/>
      <c r="G58" s="995">
        <f>SUM(G53:G57)</f>
        <v>28242.600000000002</v>
      </c>
      <c r="H58" s="995"/>
      <c r="I58" s="995">
        <f>SUM(I53:I57)</f>
        <v>29089.878000000004</v>
      </c>
      <c r="J58" s="995"/>
      <c r="K58" s="995">
        <f>SUM(K53:K57)</f>
        <v>29962.574340000003</v>
      </c>
      <c r="L58" s="995"/>
      <c r="M58" s="995">
        <f>SUM(M53:M57)</f>
        <v>30861.451570200003</v>
      </c>
      <c r="N58" s="995"/>
      <c r="O58" s="995">
        <f>SUM(O53:O57)</f>
        <v>31787.295117306006</v>
      </c>
      <c r="P58" s="995"/>
      <c r="Q58" s="995">
        <f>SUM(Q53:Q57)</f>
        <v>32740.913970825182</v>
      </c>
      <c r="R58" s="995"/>
      <c r="S58" s="995">
        <f>SUM(S53:S57)</f>
        <v>33723.141389949938</v>
      </c>
      <c r="T58" s="995"/>
      <c r="U58" s="995">
        <f>SUM(U53:U57)</f>
        <v>34734.835631648442</v>
      </c>
      <c r="V58" s="995"/>
      <c r="W58" s="995">
        <f>SUM(W53:W57)</f>
        <v>35776.880700597896</v>
      </c>
      <c r="X58" s="995"/>
      <c r="Y58" s="995">
        <f>SUM(Y53:Y57)</f>
        <v>36850.187121615832</v>
      </c>
      <c r="Z58" s="995"/>
      <c r="AA58" s="995">
        <f>SUM(AA53:AA57)</f>
        <v>37955.692735264311</v>
      </c>
      <c r="AB58" s="995"/>
      <c r="AC58" s="995">
        <f>SUM(AC53:AC57)</f>
        <v>39094.363517322243</v>
      </c>
      <c r="AD58" s="995"/>
      <c r="AE58" s="995">
        <f>SUM(AE53:AE57)</f>
        <v>40267.194422841909</v>
      </c>
      <c r="AF58" s="995"/>
      <c r="AG58" s="995">
        <f>SUM(AG53:AG57)</f>
        <v>41475.210255527163</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352310.59999999963</v>
      </c>
      <c r="G60" s="997">
        <f>G45-G58</f>
        <v>400210.98499999952</v>
      </c>
      <c r="I60" s="997">
        <f>I45-I58</f>
        <v>448946.94432499958</v>
      </c>
      <c r="K60" s="997">
        <f>K45-K58</f>
        <v>498526.71518262365</v>
      </c>
      <c r="M60" s="997">
        <f>M45-M58</f>
        <v>548958.29840277112</v>
      </c>
      <c r="O60" s="997">
        <f>O45-O58</f>
        <v>600249.4370639096</v>
      </c>
      <c r="Q60" s="997">
        <f>Q45-Q58</f>
        <v>652407.59404429526</v>
      </c>
      <c r="S60" s="997">
        <f>S45-S58</f>
        <v>705439.92845233227</v>
      </c>
      <c r="U60" s="997">
        <f>U45-U58</f>
        <v>759353.27088846837</v>
      </c>
      <c r="W60" s="997">
        <f>W45-W58</f>
        <v>814154.09748918063</v>
      </c>
      <c r="Y60" s="997">
        <f>Y45-Y58</f>
        <v>869848.502701613</v>
      </c>
      <c r="AA60" s="997">
        <f>AA45-AA58</f>
        <v>926442.17073545675</v>
      </c>
      <c r="AC60" s="997">
        <f>AC45-AC58</f>
        <v>983940.34563653346</v>
      </c>
      <c r="AE60" s="997">
        <f>AE45-AE58</f>
        <v>1042347.7999243975</v>
      </c>
      <c r="AG60" s="997">
        <f>AG45-AG58</f>
        <v>1101668.8017339825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352310.59999999963</v>
      </c>
      <c r="G62" s="997">
        <f>G60*$C$62</f>
        <v>400210.98499999952</v>
      </c>
      <c r="I62" s="997">
        <f>I60*$C$62</f>
        <v>448946.94432499958</v>
      </c>
      <c r="K62" s="997">
        <f>K60*$C$62</f>
        <v>498526.71518262365</v>
      </c>
      <c r="M62" s="997">
        <f>M60*$C$62</f>
        <v>548958.29840277112</v>
      </c>
      <c r="O62" s="997">
        <f>O60*$C$62</f>
        <v>600249.4370639096</v>
      </c>
      <c r="Q62" s="997">
        <f>Q60*$C$62</f>
        <v>652407.59404429526</v>
      </c>
      <c r="S62" s="997">
        <f>S60*$C$62</f>
        <v>705439.92845233227</v>
      </c>
      <c r="U62" s="997">
        <f>U60*$C$62</f>
        <v>759353.27088846837</v>
      </c>
      <c r="W62" s="997">
        <f>W60*$C$62</f>
        <v>814154.09748918063</v>
      </c>
      <c r="Y62" s="997">
        <f>Y60*$C$62</f>
        <v>869848.502701613</v>
      </c>
      <c r="AA62" s="997">
        <f>AA60*$C$62</f>
        <v>926442.17073545675</v>
      </c>
      <c r="AC62" s="997">
        <f>AC60*$C$62</f>
        <v>983940.34563653346</v>
      </c>
      <c r="AE62" s="997">
        <f>AE60*$C$62</f>
        <v>1042347.7999243975</v>
      </c>
      <c r="AG62" s="997">
        <f>AG60*$C$62</f>
        <v>1101668.8017339825</v>
      </c>
    </row>
    <row r="63" spans="1:35" s="997" customFormat="1">
      <c r="A63" s="2677" t="s">
        <v>1290</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2721</v>
      </c>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ht="13.2" customHeight="1">
      <c r="A67" s="1000" t="s">
        <v>2643</v>
      </c>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t="s">
        <v>2714</v>
      </c>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1910</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1909</v>
      </c>
      <c r="C75" s="192"/>
    </row>
    <row r="76" spans="1:35" s="233" customFormat="1">
      <c r="C76" s="192"/>
    </row>
    <row r="77" spans="1:35" s="250" customFormat="1" ht="30" customHeight="1">
      <c r="A77" s="2675" t="s">
        <v>1908</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337" t="s">
        <v>990</v>
      </c>
    </row>
    <row r="2" spans="1:1" ht="15.6">
      <c r="A2" s="338"/>
    </row>
    <row r="3" spans="1:1" ht="15.6">
      <c r="A3" s="339" t="s">
        <v>985</v>
      </c>
    </row>
    <row r="4" spans="1:1" ht="15.6">
      <c r="A4" s="339" t="s">
        <v>986</v>
      </c>
    </row>
    <row r="5" spans="1:1" ht="15.6">
      <c r="A5" s="339" t="s">
        <v>987</v>
      </c>
    </row>
    <row r="6" spans="1:1" ht="15.6">
      <c r="A6" s="339" t="s">
        <v>989</v>
      </c>
    </row>
    <row r="7" spans="1:1" ht="15.6">
      <c r="A7" s="339" t="s">
        <v>988</v>
      </c>
    </row>
    <row r="8" spans="1:1" ht="15.6">
      <c r="A8" s="374" t="s">
        <v>1048</v>
      </c>
    </row>
    <row r="9" spans="1:1" ht="15.6">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218" customWidth="1"/>
    <col min="2" max="4" width="14.6640625" style="218" customWidth="1"/>
    <col min="5" max="5" width="50.6640625" style="218" customWidth="1"/>
    <col min="6" max="253" width="9.109375" style="218" customWidth="1"/>
    <col min="254" max="16384" width="9.10937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3600000</v>
      </c>
      <c r="C5" s="286">
        <f>'Sources and Uses Budget'!$C4</f>
        <v>3600000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3600000</v>
      </c>
      <c r="C9" s="290">
        <f>SUM(C5:C8)</f>
        <v>3600000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3600000</v>
      </c>
      <c r="C13" s="290">
        <f>SUM(C9+C12)</f>
        <v>3600000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2.8">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3799976</v>
      </c>
      <c r="C30" s="286">
        <f>'Sources and Uses Budget'!$C29</f>
        <v>3799976</v>
      </c>
      <c r="D30" s="290">
        <f t="shared" si="0"/>
        <v>0</v>
      </c>
      <c r="E30" s="288"/>
      <c r="F30" s="287"/>
      <c r="G30" s="383"/>
    </row>
    <row r="31" spans="1:7" s="380" customFormat="1">
      <c r="A31" s="145" t="s">
        <v>607</v>
      </c>
      <c r="B31" s="286">
        <f>'Sources and Uses Budget'!$C30</f>
        <v>35915523</v>
      </c>
      <c r="C31" s="286">
        <f>'Sources and Uses Budget'!$C30</f>
        <v>35915523</v>
      </c>
      <c r="D31" s="290">
        <f t="shared" si="0"/>
        <v>0</v>
      </c>
      <c r="E31" s="288"/>
      <c r="F31" s="287"/>
      <c r="G31" s="383"/>
    </row>
    <row r="32" spans="1:7" s="380" customFormat="1">
      <c r="A32" s="145" t="s">
        <v>608</v>
      </c>
      <c r="B32" s="286">
        <f>'Sources and Uses Budget'!$C31</f>
        <v>2382930</v>
      </c>
      <c r="C32" s="286">
        <f>'Sources and Uses Budget'!$C31</f>
        <v>2382930</v>
      </c>
      <c r="D32" s="290">
        <f t="shared" si="0"/>
        <v>0</v>
      </c>
      <c r="E32" s="288"/>
      <c r="F32" s="287"/>
      <c r="G32" s="383"/>
    </row>
    <row r="33" spans="1:7" s="380" customFormat="1">
      <c r="A33" s="145" t="s">
        <v>137</v>
      </c>
      <c r="B33" s="286">
        <f>'Sources and Uses Budget'!$C32</f>
        <v>794310</v>
      </c>
      <c r="C33" s="286">
        <f>'Sources and Uses Budget'!$C32</f>
        <v>794310</v>
      </c>
      <c r="D33" s="290">
        <f t="shared" si="0"/>
        <v>0</v>
      </c>
      <c r="E33" s="288"/>
      <c r="F33" s="287"/>
      <c r="G33" s="383"/>
    </row>
    <row r="34" spans="1:7" s="380" customFormat="1">
      <c r="A34" s="145" t="s">
        <v>138</v>
      </c>
      <c r="B34" s="286">
        <f>'Sources and Uses Budget'!$C33</f>
        <v>2382930</v>
      </c>
      <c r="C34" s="286">
        <f>'Sources and Uses Budget'!$C33</f>
        <v>2382930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452757</v>
      </c>
      <c r="C36" s="286">
        <f>'Sources and Uses Budget'!$C35</f>
        <v>452757</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Performance Bond</v>
      </c>
      <c r="B38" s="286">
        <f>'Sources and Uses Budget'!$C37</f>
        <v>452757</v>
      </c>
      <c r="C38" s="286">
        <f>'Sources and Uses Budget'!$C37</f>
        <v>452757</v>
      </c>
      <c r="D38" s="290">
        <f t="shared" si="0"/>
        <v>0</v>
      </c>
      <c r="E38" s="288"/>
      <c r="F38" s="287"/>
      <c r="G38" s="383"/>
    </row>
    <row r="39" spans="1:7" s="380" customFormat="1">
      <c r="A39" s="291" t="s">
        <v>143</v>
      </c>
      <c r="B39" s="290">
        <f>SUM(B30:B38)</f>
        <v>46181183</v>
      </c>
      <c r="C39" s="290">
        <f>SUM(C30:C38)</f>
        <v>46181183</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980000</v>
      </c>
      <c r="C41" s="286">
        <f>'Sources and Uses Budget'!$C40</f>
        <v>980000</v>
      </c>
      <c r="D41" s="290">
        <f t="shared" si="0"/>
        <v>0</v>
      </c>
      <c r="E41" s="288"/>
      <c r="F41" s="287"/>
      <c r="G41" s="383"/>
    </row>
    <row r="42" spans="1:7" s="380" customFormat="1">
      <c r="A42" s="289" t="s">
        <v>146</v>
      </c>
      <c r="B42" s="286">
        <f>'Sources and Uses Budget'!$C41</f>
        <v>120000</v>
      </c>
      <c r="C42" s="286">
        <f>'Sources and Uses Budget'!$C41</f>
        <v>120000</v>
      </c>
      <c r="D42" s="290">
        <f t="shared" si="0"/>
        <v>0</v>
      </c>
      <c r="E42" s="288"/>
      <c r="F42" s="287"/>
      <c r="G42" s="383"/>
    </row>
    <row r="43" spans="1:7" s="380" customFormat="1">
      <c r="A43" s="291" t="s">
        <v>147</v>
      </c>
      <c r="B43" s="290">
        <f>SUM(B41:B42)</f>
        <v>1100000</v>
      </c>
      <c r="C43" s="290">
        <f>SUM(C41:C42)</f>
        <v>1100000</v>
      </c>
      <c r="D43" s="290">
        <f t="shared" si="0"/>
        <v>0</v>
      </c>
      <c r="E43" s="288"/>
      <c r="F43" s="287"/>
      <c r="G43" s="383"/>
    </row>
    <row r="44" spans="1:7" s="380" customFormat="1">
      <c r="A44" s="291" t="s">
        <v>148</v>
      </c>
      <c r="B44" s="286">
        <f>'Sources and Uses Budget'!$C43</f>
        <v>0</v>
      </c>
      <c r="C44" s="286">
        <f>'Sources and Uses Budget'!$C43</f>
        <v>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3887718</v>
      </c>
      <c r="C46" s="286">
        <f>'Sources and Uses Budget'!$C45</f>
        <v>3887718</v>
      </c>
      <c r="D46" s="290">
        <f t="shared" si="0"/>
        <v>0</v>
      </c>
      <c r="E46" s="288"/>
      <c r="F46" s="287"/>
      <c r="G46" s="383"/>
    </row>
    <row r="47" spans="1:7" s="380" customFormat="1">
      <c r="A47" s="145" t="s">
        <v>151</v>
      </c>
      <c r="B47" s="286">
        <f>'Sources and Uses Budget'!$C46</f>
        <v>458000</v>
      </c>
      <c r="C47" s="286">
        <f>'Sources and Uses Budget'!$C46</f>
        <v>458000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11000</v>
      </c>
      <c r="C51" s="286">
        <f>'Sources and Uses Budget'!$C50</f>
        <v>11000</v>
      </c>
      <c r="D51" s="290">
        <f t="shared" si="0"/>
        <v>0</v>
      </c>
      <c r="E51" s="288"/>
      <c r="F51" s="287"/>
      <c r="G51" s="383"/>
    </row>
    <row r="52" spans="1:7" s="380" customFormat="1">
      <c r="A52" s="304" t="s">
        <v>154</v>
      </c>
      <c r="B52" s="286">
        <f>'Sources and Uses Budget'!$C51</f>
        <v>20000</v>
      </c>
      <c r="C52" s="286">
        <f>'Sources and Uses Budget'!$C51</f>
        <v>20000</v>
      </c>
      <c r="D52" s="290">
        <f t="shared" si="0"/>
        <v>0</v>
      </c>
      <c r="E52" s="288"/>
      <c r="F52" s="287"/>
      <c r="G52" s="383"/>
    </row>
    <row r="53" spans="1:7" s="380" customFormat="1">
      <c r="A53" s="145" t="s">
        <v>155</v>
      </c>
      <c r="B53" s="286">
        <f>'Sources and Uses Budget'!$C52</f>
        <v>20000</v>
      </c>
      <c r="C53" s="286">
        <f>'Sources and Uses Budget'!$C52</f>
        <v>20000</v>
      </c>
      <c r="D53" s="290">
        <f t="shared" si="0"/>
        <v>0</v>
      </c>
      <c r="E53" s="288"/>
      <c r="F53" s="287"/>
      <c r="G53" s="383"/>
    </row>
    <row r="54" spans="1:7" s="380" customFormat="1">
      <c r="A54" s="155" t="str">
        <f>'Sources and Uses Budget'!A53</f>
        <v>CDLAC App and  Bond Fees</v>
      </c>
      <c r="B54" s="286">
        <f>'Sources and Uses Budget'!$C53</f>
        <v>208918</v>
      </c>
      <c r="C54" s="286">
        <f>'Sources and Uses Budget'!$C53</f>
        <v>208918</v>
      </c>
      <c r="D54" s="290">
        <f t="shared" si="0"/>
        <v>0</v>
      </c>
      <c r="E54" s="288"/>
      <c r="F54" s="287"/>
      <c r="G54" s="383"/>
    </row>
    <row r="55" spans="1:7" s="381" customFormat="1">
      <c r="A55" s="291" t="s">
        <v>157</v>
      </c>
      <c r="B55" s="293">
        <f>SUM(B46:B54)</f>
        <v>4605636</v>
      </c>
      <c r="C55" s="293">
        <f>SUM(C46:C54)</f>
        <v>4605636</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75000</v>
      </c>
      <c r="C59" s="286">
        <f>'Sources and Uses Budget'!$C58</f>
        <v>75000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f>'Sources and Uses Budget'!A61</f>
        <v>0</v>
      </c>
      <c r="B62" s="286">
        <f>'Sources and Uses Budget'!$C61</f>
        <v>0</v>
      </c>
      <c r="C62" s="286">
        <f>'Sources and Uses Budget'!$C61</f>
        <v>0</v>
      </c>
      <c r="D62" s="290">
        <f t="shared" si="0"/>
        <v>0</v>
      </c>
      <c r="E62" s="288"/>
      <c r="F62" s="287"/>
      <c r="G62" s="383"/>
    </row>
    <row r="63" spans="1:7" s="380" customFormat="1" ht="13.65" customHeight="1">
      <c r="A63" s="291" t="s">
        <v>302</v>
      </c>
      <c r="B63" s="290">
        <f>SUM(B57:B62)</f>
        <v>75000</v>
      </c>
      <c r="C63" s="290">
        <f>SUM(C57:C62)</f>
        <v>75000</v>
      </c>
      <c r="D63" s="290">
        <f t="shared" si="0"/>
        <v>0</v>
      </c>
      <c r="E63" s="288"/>
      <c r="F63" s="287"/>
      <c r="G63" s="383"/>
    </row>
    <row r="64" spans="1:7" s="380" customFormat="1">
      <c r="A64" s="294" t="s">
        <v>303</v>
      </c>
      <c r="B64" s="290">
        <f>SUM(B9+B12+B14+B15+B17+B26+B28+B39+B43+B44+B55+B63)</f>
        <v>55561819</v>
      </c>
      <c r="C64" s="290">
        <f>SUM(C9+C12+C14+C15+C17+C26+C28+C39+C43+C44+C55+C63)</f>
        <v>55561819</v>
      </c>
      <c r="D64" s="290">
        <f t="shared" si="0"/>
        <v>0</v>
      </c>
      <c r="E64" s="288"/>
      <c r="F64" s="287"/>
      <c r="G64" s="383"/>
    </row>
    <row r="65" spans="1:7" s="380" customFormat="1" ht="22.8">
      <c r="A65" s="141" t="s">
        <v>1757</v>
      </c>
      <c r="B65" s="284"/>
      <c r="C65" s="284"/>
      <c r="D65" s="284"/>
      <c r="E65" s="303"/>
      <c r="F65" s="284"/>
      <c r="G65" s="383"/>
    </row>
    <row r="66" spans="1:7" s="380" customFormat="1">
      <c r="A66" s="145" t="s">
        <v>171</v>
      </c>
      <c r="B66" s="286">
        <f>'Sources and Uses Budget'!$C65</f>
        <v>0</v>
      </c>
      <c r="C66" s="286">
        <f>'Sources and Uses Budget'!$C65</f>
        <v>0</v>
      </c>
      <c r="D66" s="290">
        <f t="shared" si="0"/>
        <v>0</v>
      </c>
      <c r="E66" s="288"/>
      <c r="F66" s="287"/>
      <c r="G66" s="383"/>
    </row>
    <row r="67" spans="1:7" s="380" customFormat="1" ht="22.8">
      <c r="A67" s="304" t="s">
        <v>1754</v>
      </c>
      <c r="B67" s="286">
        <f>'Sources and Uses Budget'!$C66</f>
        <v>0</v>
      </c>
      <c r="C67" s="286">
        <f>'Sources and Uses Budget'!$C66</f>
        <v>0</v>
      </c>
      <c r="D67" s="290"/>
      <c r="E67" s="288"/>
      <c r="F67" s="287"/>
      <c r="G67" s="383"/>
    </row>
    <row r="68" spans="1:7" s="380" customFormat="1" ht="22.8">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Borrower Legal</v>
      </c>
      <c r="B70" s="286">
        <f>'Sources and Uses Budget'!$C69</f>
        <v>202500</v>
      </c>
      <c r="C70" s="286">
        <f>'Sources and Uses Budget'!$C69</f>
        <v>202500</v>
      </c>
      <c r="D70" s="290">
        <f t="shared" si="0"/>
        <v>0</v>
      </c>
      <c r="E70" s="288"/>
      <c r="F70" s="287"/>
      <c r="G70" s="383"/>
    </row>
    <row r="71" spans="1:7" s="380" customFormat="1">
      <c r="A71" s="149" t="s">
        <v>1758</v>
      </c>
      <c r="B71" s="290">
        <f>SUM(B66:B70)</f>
        <v>202500</v>
      </c>
      <c r="C71" s="290">
        <f>SUM(C66:C70)</f>
        <v>202500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500000</v>
      </c>
      <c r="C73" s="286">
        <f>'Sources and Uses Budget'!$C72</f>
        <v>500000</v>
      </c>
      <c r="D73" s="290">
        <f t="shared" si="0"/>
        <v>0</v>
      </c>
      <c r="E73" s="288"/>
      <c r="F73" s="287"/>
      <c r="G73" s="383"/>
    </row>
    <row r="74" spans="1:7" s="380" customFormat="1">
      <c r="A74" s="289" t="s">
        <v>612</v>
      </c>
      <c r="B74" s="286">
        <f>'Sources and Uses Budget'!$C73</f>
        <v>500000</v>
      </c>
      <c r="C74" s="286">
        <f>'Sources and Uses Budget'!$C73</f>
        <v>500000</v>
      </c>
      <c r="D74" s="290">
        <f t="shared" si="0"/>
        <v>0</v>
      </c>
      <c r="E74" s="288"/>
      <c r="F74" s="287"/>
      <c r="G74" s="383"/>
    </row>
    <row r="75" spans="1:7" s="380" customFormat="1">
      <c r="A75" s="309" t="s">
        <v>1007</v>
      </c>
      <c r="B75" s="286">
        <f>'Sources and Uses Budget'!$C74</f>
        <v>166000</v>
      </c>
      <c r="C75" s="286">
        <f>'Sources and Uses Budget'!$C74</f>
        <v>166000</v>
      </c>
      <c r="D75" s="290">
        <f t="shared" si="0"/>
        <v>0</v>
      </c>
      <c r="E75" s="288"/>
      <c r="F75" s="287"/>
      <c r="G75" s="383"/>
    </row>
    <row r="76" spans="1:7" s="380" customFormat="1">
      <c r="A76" s="289" t="s">
        <v>613</v>
      </c>
      <c r="B76" s="286">
        <f>'Sources and Uses Budget'!$C75</f>
        <v>1502231</v>
      </c>
      <c r="C76" s="286">
        <f>'Sources and Uses Budget'!$C75</f>
        <v>1502231</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2668231</v>
      </c>
      <c r="C78" s="290">
        <f>SUM(C73:C77)</f>
        <v>2668231</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2263784</v>
      </c>
      <c r="C80" s="286">
        <f>'Sources and Uses Budget'!$C79</f>
        <v>2263784</v>
      </c>
      <c r="D80" s="290">
        <f t="shared" si="1"/>
        <v>0</v>
      </c>
      <c r="E80" s="288"/>
      <c r="F80" s="287"/>
      <c r="G80" s="383"/>
    </row>
    <row r="81" spans="1:7" s="380" customFormat="1">
      <c r="A81" s="544" t="s">
        <v>58</v>
      </c>
      <c r="B81" s="286">
        <f>'Sources and Uses Budget'!$C80</f>
        <v>100000</v>
      </c>
      <c r="C81" s="286">
        <f>'Sources and Uses Budget'!$C80</f>
        <v>100000</v>
      </c>
      <c r="D81" s="290">
        <f>C81-B81</f>
        <v>0</v>
      </c>
      <c r="E81" s="288"/>
      <c r="F81" s="287"/>
      <c r="G81" s="383"/>
    </row>
    <row r="82" spans="1:7" s="380" customFormat="1">
      <c r="A82" s="291" t="s">
        <v>1315</v>
      </c>
      <c r="B82" s="290">
        <f>SUM(B80:B81)</f>
        <v>2363784</v>
      </c>
      <c r="C82" s="290">
        <f>SUM(C80:C81)</f>
        <v>2363784</v>
      </c>
      <c r="D82" s="290">
        <f t="shared" si="1"/>
        <v>0</v>
      </c>
      <c r="E82" s="288"/>
      <c r="F82" s="287"/>
      <c r="G82" s="383"/>
    </row>
    <row r="83" spans="1:7" s="380" customFormat="1">
      <c r="A83" s="284" t="s">
        <v>774</v>
      </c>
      <c r="B83" s="284"/>
      <c r="C83" s="284"/>
      <c r="D83" s="284"/>
      <c r="E83" s="303"/>
      <c r="F83" s="284"/>
      <c r="G83" s="383"/>
    </row>
    <row r="84" spans="1:7" s="380" customFormat="1" ht="13.65" customHeight="1">
      <c r="A84" s="289" t="s">
        <v>775</v>
      </c>
      <c r="B84" s="286">
        <f>'Sources and Uses Budget'!$C83</f>
        <v>265310</v>
      </c>
      <c r="C84" s="286">
        <f>'Sources and Uses Budget'!$C83</f>
        <v>265310</v>
      </c>
      <c r="D84" s="290">
        <f t="shared" si="1"/>
        <v>0</v>
      </c>
      <c r="E84" s="288"/>
      <c r="F84" s="287"/>
      <c r="G84" s="383"/>
    </row>
    <row r="85" spans="1:7" s="380" customFormat="1">
      <c r="A85" s="289" t="s">
        <v>776</v>
      </c>
      <c r="B85" s="286">
        <f>'Sources and Uses Budget'!$C84</f>
        <v>10000</v>
      </c>
      <c r="C85" s="286">
        <f>'Sources and Uses Budget'!$C84</f>
        <v>10000</v>
      </c>
      <c r="D85" s="290">
        <f t="shared" si="1"/>
        <v>0</v>
      </c>
      <c r="E85" s="288"/>
      <c r="F85" s="287"/>
      <c r="G85" s="383"/>
    </row>
    <row r="86" spans="1:7" s="380" customFormat="1">
      <c r="A86" s="289" t="s">
        <v>777</v>
      </c>
      <c r="B86" s="286">
        <f>'Sources and Uses Budget'!$C85</f>
        <v>7863853</v>
      </c>
      <c r="C86" s="286">
        <f>'Sources and Uses Budget'!$C85</f>
        <v>7863853</v>
      </c>
      <c r="D86" s="290">
        <f t="shared" si="1"/>
        <v>0</v>
      </c>
      <c r="E86" s="288"/>
      <c r="F86" s="287"/>
      <c r="G86" s="383"/>
    </row>
    <row r="87" spans="1:7" s="380" customFormat="1">
      <c r="A87" s="289" t="s">
        <v>778</v>
      </c>
      <c r="B87" s="286">
        <f>'Sources and Uses Budget'!$C86</f>
        <v>1294096</v>
      </c>
      <c r="C87" s="286">
        <f>'Sources and Uses Budget'!$C86</f>
        <v>1294096</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0</v>
      </c>
      <c r="C89" s="286">
        <f>'Sources and Uses Budget'!$C88</f>
        <v>0</v>
      </c>
      <c r="D89" s="290">
        <f t="shared" si="1"/>
        <v>0</v>
      </c>
      <c r="E89" s="288"/>
      <c r="F89" s="287"/>
      <c r="G89" s="383"/>
    </row>
    <row r="90" spans="1:7" s="380" customFormat="1">
      <c r="A90" s="289" t="s">
        <v>781</v>
      </c>
      <c r="B90" s="286">
        <f>'Sources and Uses Budget'!$C89</f>
        <v>250000</v>
      </c>
      <c r="C90" s="286">
        <f>'Sources and Uses Budget'!$C89</f>
        <v>250000</v>
      </c>
      <c r="D90" s="290">
        <f t="shared" si="1"/>
        <v>0</v>
      </c>
      <c r="E90" s="288"/>
      <c r="F90" s="287"/>
      <c r="G90" s="383"/>
    </row>
    <row r="91" spans="1:7" s="380" customFormat="1">
      <c r="A91" s="289" t="s">
        <v>782</v>
      </c>
      <c r="B91" s="286">
        <f>'Sources and Uses Budget'!$C90</f>
        <v>10000</v>
      </c>
      <c r="C91" s="286">
        <f>'Sources and Uses Budget'!$C90</f>
        <v>10000</v>
      </c>
      <c r="D91" s="290">
        <f t="shared" si="1"/>
        <v>0</v>
      </c>
      <c r="E91" s="288"/>
      <c r="F91" s="287"/>
      <c r="G91" s="383"/>
    </row>
    <row r="92" spans="1:7" s="380" customFormat="1">
      <c r="A92" s="289" t="s">
        <v>373</v>
      </c>
      <c r="B92" s="286">
        <f>'Sources and Uses Budget'!$C91</f>
        <v>15000</v>
      </c>
      <c r="C92" s="286">
        <f>'Sources and Uses Budget'!$C91</f>
        <v>15000</v>
      </c>
      <c r="D92" s="290">
        <f t="shared" si="1"/>
        <v>0</v>
      </c>
      <c r="E92" s="288"/>
      <c r="F92" s="287"/>
      <c r="G92" s="383"/>
    </row>
    <row r="93" spans="1:7" s="380" customFormat="1">
      <c r="A93" s="544" t="s">
        <v>1317</v>
      </c>
      <c r="B93" s="286">
        <f>'Sources and Uses Budget'!$C92</f>
        <v>7500</v>
      </c>
      <c r="C93" s="286">
        <f>'Sources and Uses Budget'!$C92</f>
        <v>7500</v>
      </c>
      <c r="D93" s="290">
        <f t="shared" si="1"/>
        <v>0</v>
      </c>
      <c r="E93" s="288"/>
      <c r="F93" s="287"/>
      <c r="G93" s="383"/>
    </row>
    <row r="94" spans="1:7" s="380" customFormat="1">
      <c r="A94" s="292" t="s">
        <v>34</v>
      </c>
      <c r="B94" s="286">
        <f>'Sources and Uses Budget'!$C93</f>
        <v>150000</v>
      </c>
      <c r="C94" s="286">
        <f>'Sources and Uses Budget'!$C93</f>
        <v>150000</v>
      </c>
      <c r="D94" s="290">
        <f t="shared" si="1"/>
        <v>0</v>
      </c>
      <c r="E94" s="288"/>
      <c r="F94" s="287"/>
      <c r="G94" s="383"/>
    </row>
    <row r="95" spans="1:7" s="380" customFormat="1">
      <c r="A95" s="292" t="s">
        <v>34</v>
      </c>
      <c r="B95" s="286">
        <f>'Sources and Uses Budget'!$C94</f>
        <v>50000</v>
      </c>
      <c r="C95" s="286">
        <f>'Sources and Uses Budget'!$C94</f>
        <v>50000</v>
      </c>
      <c r="D95" s="290">
        <f t="shared" si="1"/>
        <v>0</v>
      </c>
      <c r="E95" s="288"/>
      <c r="F95" s="287"/>
      <c r="G95" s="383"/>
    </row>
    <row r="96" spans="1:7" s="380" customFormat="1">
      <c r="A96" s="292" t="s">
        <v>34</v>
      </c>
      <c r="B96" s="286">
        <f>'Sources and Uses Budget'!$C95</f>
        <v>24450</v>
      </c>
      <c r="C96" s="286">
        <f>'Sources and Uses Budget'!$C95</f>
        <v>24450</v>
      </c>
      <c r="D96" s="290">
        <f t="shared" si="1"/>
        <v>0</v>
      </c>
      <c r="E96" s="288"/>
      <c r="F96" s="287"/>
      <c r="G96" s="383"/>
    </row>
    <row r="97" spans="1:7" s="380" customFormat="1">
      <c r="A97" s="291" t="s">
        <v>783</v>
      </c>
      <c r="B97" s="290">
        <f>SUM(B84:B96)</f>
        <v>9940209</v>
      </c>
      <c r="C97" s="290">
        <f>SUM(C84:C96)</f>
        <v>9940209</v>
      </c>
      <c r="D97" s="290">
        <f t="shared" si="1"/>
        <v>0</v>
      </c>
      <c r="E97" s="288"/>
      <c r="F97" s="287"/>
      <c r="G97" s="383"/>
    </row>
    <row r="98" spans="1:7" s="380" customFormat="1">
      <c r="A98" s="291" t="s">
        <v>784</v>
      </c>
      <c r="B98" s="290">
        <f>SUM(B64+B71+B78+B82+B97)</f>
        <v>70736543</v>
      </c>
      <c r="C98" s="290">
        <f>SUM(C64+C71+C78+C82+C97)</f>
        <v>70736543</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9221718</v>
      </c>
      <c r="C100" s="286">
        <f>'Sources and Uses Budget'!$C99</f>
        <v>9221718</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9221718</v>
      </c>
      <c r="C105" s="290">
        <f>SUM(C100:C104)</f>
        <v>9221718</v>
      </c>
      <c r="D105" s="290">
        <f t="shared" si="1"/>
        <v>0</v>
      </c>
      <c r="E105" s="288"/>
      <c r="F105" s="287"/>
      <c r="G105" s="383"/>
    </row>
    <row r="106" spans="1:7" s="380" customFormat="1">
      <c r="A106" s="291" t="s">
        <v>789</v>
      </c>
      <c r="B106" s="293">
        <f>SUM(B98+B105)</f>
        <v>79958261</v>
      </c>
      <c r="C106" s="293">
        <f>SUM(C98+C105)</f>
        <v>79958261</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304" t="s">
        <v>1068</v>
      </c>
      <c r="B2" s="1304"/>
      <c r="C2" s="1268"/>
      <c r="D2" s="1268"/>
      <c r="E2" s="1268"/>
      <c r="F2" s="1268"/>
      <c r="G2" s="1268"/>
    </row>
    <row r="3" spans="1:9" s="173" customFormat="1">
      <c r="A3" s="1304" t="s">
        <v>1009</v>
      </c>
      <c r="B3" s="1304"/>
      <c r="C3" s="1268"/>
      <c r="D3" s="1268"/>
      <c r="E3" s="1268"/>
      <c r="F3" s="1268"/>
      <c r="G3" s="1268"/>
      <c r="I3" t="s">
        <v>308</v>
      </c>
    </row>
    <row r="4" spans="1:9">
      <c r="I4" s="3" t="s">
        <v>1069</v>
      </c>
    </row>
    <row r="5" spans="1:9">
      <c r="A5" s="1306" t="s">
        <v>1010</v>
      </c>
      <c r="B5" s="1306"/>
      <c r="C5" s="1268"/>
      <c r="D5" s="1268"/>
      <c r="E5" s="1268"/>
      <c r="F5" s="1268"/>
      <c r="G5" s="1268"/>
      <c r="I5" s="3" t="s">
        <v>1070</v>
      </c>
    </row>
    <row r="6" spans="1:9">
      <c r="A6" s="1306" t="s">
        <v>828</v>
      </c>
      <c r="B6" s="1306"/>
      <c r="C6" s="1268"/>
      <c r="D6" s="1268"/>
      <c r="E6" s="1268"/>
      <c r="F6" s="1268"/>
      <c r="G6" s="1268"/>
      <c r="I6" t="s">
        <v>599</v>
      </c>
    </row>
    <row r="7" spans="1:9" ht="11.8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7" t="s">
        <v>1168</v>
      </c>
      <c r="B11" s="1287"/>
      <c r="C11" s="1287"/>
      <c r="D11" s="1287"/>
      <c r="E11" s="1287"/>
      <c r="F11" s="1287"/>
      <c r="G11" s="1287"/>
    </row>
    <row r="12" spans="1:9">
      <c r="A12" s="172"/>
      <c r="B12" s="172"/>
      <c r="E12" s="2"/>
    </row>
    <row r="13" spans="1:9" ht="13.2" customHeight="1">
      <c r="C13" s="172"/>
      <c r="D13" s="1289" t="s">
        <v>1167</v>
      </c>
      <c r="E13" s="1289"/>
      <c r="F13" s="1289"/>
    </row>
    <row r="14" spans="1:9">
      <c r="C14" s="172"/>
      <c r="D14" s="1289"/>
      <c r="E14" s="1289"/>
      <c r="F14" s="1289"/>
    </row>
    <row r="15" spans="1:9">
      <c r="A15" s="175"/>
      <c r="B15" s="175"/>
      <c r="C15" s="175"/>
      <c r="D15" s="1286" t="s">
        <v>1150</v>
      </c>
      <c r="E15" s="1286"/>
      <c r="F15" s="1286"/>
    </row>
    <row r="16" spans="1:9">
      <c r="A16" s="175"/>
      <c r="B16" s="175"/>
      <c r="C16" s="175"/>
      <c r="D16" s="218"/>
    </row>
    <row r="17" spans="1:6" ht="14.4">
      <c r="A17" s="176"/>
      <c r="B17" s="468" t="s">
        <v>308</v>
      </c>
      <c r="C17" s="175"/>
      <c r="D17" s="1266" t="s">
        <v>1151</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4">
      <c r="A21" s="176"/>
      <c r="B21" s="468" t="s">
        <v>308</v>
      </c>
      <c r="D21" s="1290" t="s">
        <v>1152</v>
      </c>
      <c r="E21" s="1290"/>
      <c r="F21" s="1290"/>
    </row>
    <row r="22" spans="1:6" ht="14.4">
      <c r="A22" s="176"/>
      <c r="B22" s="176"/>
      <c r="D22" s="35"/>
    </row>
    <row r="23" spans="1:6" ht="14.4">
      <c r="A23" s="176"/>
      <c r="B23" s="468" t="s">
        <v>308</v>
      </c>
      <c r="D23" s="1266" t="s">
        <v>1153</v>
      </c>
      <c r="E23" s="1266"/>
      <c r="F23" s="1266"/>
    </row>
    <row r="24" spans="1:6" ht="14.4">
      <c r="A24" s="176"/>
      <c r="B24" s="176"/>
      <c r="D24" s="1266"/>
      <c r="E24" s="1266"/>
      <c r="F24" s="1266"/>
    </row>
    <row r="25" spans="1:6"/>
    <row r="26" spans="1:6" ht="14.4">
      <c r="A26" s="176"/>
      <c r="B26" s="468" t="s">
        <v>308</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1155</v>
      </c>
      <c r="E32" s="1266"/>
      <c r="F32" s="1266"/>
    </row>
    <row r="33" spans="1:6">
      <c r="D33" s="1266"/>
      <c r="E33" s="1266"/>
      <c r="F33" s="1266"/>
    </row>
    <row r="34" spans="1:6" ht="14.4">
      <c r="A34" s="176"/>
      <c r="B34" s="176"/>
      <c r="D34" s="220"/>
    </row>
    <row r="35" spans="1:6" ht="14.4" customHeight="1">
      <c r="A35" s="176"/>
      <c r="B35" s="468" t="s">
        <v>308</v>
      </c>
      <c r="D35" s="1266" t="s">
        <v>1156</v>
      </c>
      <c r="E35" s="1266"/>
      <c r="F35" s="1266"/>
    </row>
    <row r="36" spans="1:6" ht="14.4">
      <c r="A36" s="176"/>
      <c r="B36" s="176"/>
      <c r="D36" s="1266"/>
      <c r="E36" s="1266"/>
      <c r="F36" s="1266"/>
    </row>
    <row r="37" spans="1:6" ht="14.4">
      <c r="A37" s="176"/>
      <c r="B37" s="176"/>
      <c r="D37" s="1266"/>
      <c r="E37" s="1266"/>
      <c r="F37" s="1266"/>
    </row>
    <row r="38" spans="1:6" ht="14.4">
      <c r="A38" s="176"/>
      <c r="B38" s="176"/>
      <c r="D38"/>
    </row>
    <row r="39" spans="1:6" ht="14.4">
      <c r="A39" s="176"/>
      <c r="B39" s="468" t="s">
        <v>308</v>
      </c>
      <c r="D39" s="1266" t="s">
        <v>1157</v>
      </c>
      <c r="E39" s="1266"/>
      <c r="F39" s="1266"/>
    </row>
    <row r="40" spans="1:6" ht="14.4">
      <c r="A40" s="176"/>
      <c r="B40" s="176"/>
      <c r="D40" s="1266"/>
      <c r="E40" s="1266"/>
      <c r="F40" s="1266"/>
    </row>
    <row r="41" spans="1:6" ht="14.4">
      <c r="A41" s="176"/>
      <c r="B41" s="176"/>
      <c r="D41" s="1266"/>
      <c r="E41" s="1266"/>
      <c r="F41" s="1266"/>
    </row>
    <row r="42" spans="1:6" ht="14.4">
      <c r="A42" s="176"/>
      <c r="B42" s="176"/>
      <c r="D42" s="1266"/>
      <c r="E42" s="1266"/>
      <c r="F42" s="1266"/>
    </row>
    <row r="43" spans="1:6" ht="14.4">
      <c r="A43" s="176"/>
      <c r="B43" s="176"/>
      <c r="D43" s="1266"/>
      <c r="E43" s="1266"/>
      <c r="F43" s="1266"/>
    </row>
    <row r="44" spans="1:6" ht="14.4">
      <c r="A44" s="176"/>
      <c r="B44" s="176"/>
      <c r="D44" s="474"/>
      <c r="E44" s="474"/>
      <c r="F44" s="474"/>
    </row>
    <row r="45" spans="1:6" ht="14.4">
      <c r="A45" s="176"/>
      <c r="B45" s="468" t="s">
        <v>308</v>
      </c>
      <c r="D45" s="1266" t="s">
        <v>1158</v>
      </c>
      <c r="E45" s="1266"/>
      <c r="F45" s="1266"/>
    </row>
    <row r="46" spans="1:6" ht="14.4">
      <c r="A46" s="176"/>
      <c r="B46" s="176"/>
      <c r="D46" s="1266"/>
      <c r="E46" s="1266"/>
      <c r="F46" s="1266"/>
    </row>
    <row r="47" spans="1:6" ht="14.4">
      <c r="A47" s="176"/>
      <c r="B47" s="176"/>
      <c r="D47" s="1266"/>
      <c r="E47" s="1266"/>
      <c r="F47" s="1266"/>
    </row>
    <row r="48" spans="1:6" ht="23.25" customHeight="1">
      <c r="A48" s="176"/>
      <c r="B48" s="176"/>
      <c r="D48" s="1266"/>
      <c r="E48" s="1266"/>
      <c r="F48" s="1266"/>
    </row>
    <row r="49" spans="1:7" ht="14.4">
      <c r="A49" s="176"/>
      <c r="B49" s="176"/>
      <c r="D49" s="35"/>
    </row>
    <row r="50" spans="1:7" ht="14.4" customHeight="1">
      <c r="A50" s="176"/>
      <c r="B50" s="468" t="s">
        <v>308</v>
      </c>
      <c r="D50" s="1266" t="s">
        <v>1159</v>
      </c>
      <c r="E50" s="1266"/>
      <c r="F50" s="1266"/>
    </row>
    <row r="51" spans="1:7" ht="14.4">
      <c r="A51" s="176"/>
      <c r="B51" s="176"/>
      <c r="D51" s="1266"/>
      <c r="E51" s="1266"/>
      <c r="F51" s="1266"/>
    </row>
    <row r="52" spans="1:7" ht="14.4">
      <c r="A52" s="176"/>
      <c r="B52" s="176"/>
      <c r="D52" s="1266"/>
      <c r="E52" s="1266"/>
      <c r="F52" s="1266"/>
    </row>
    <row r="53" spans="1:7" ht="14.4">
      <c r="A53" s="176"/>
      <c r="B53" s="176"/>
      <c r="C53" s="385"/>
      <c r="D53" s="3"/>
      <c r="E53" s="3"/>
      <c r="F53" s="3"/>
      <c r="G53" s="3"/>
    </row>
    <row r="54" spans="1:7" ht="14.4">
      <c r="A54" s="176"/>
      <c r="B54" s="468" t="s">
        <v>308</v>
      </c>
      <c r="C54" s="385"/>
      <c r="D54" s="1266" t="s">
        <v>1160</v>
      </c>
      <c r="E54" s="1266"/>
      <c r="F54" s="1266"/>
      <c r="G54" s="3"/>
    </row>
    <row r="55" spans="1:7" ht="14.4">
      <c r="A55" s="176"/>
      <c r="B55" s="176"/>
      <c r="C55" s="385"/>
      <c r="D55" s="1266"/>
      <c r="E55" s="1266"/>
      <c r="F55" s="1266"/>
      <c r="G55" s="3"/>
    </row>
    <row r="56" spans="1:7">
      <c r="D56" s="220"/>
    </row>
    <row r="57" spans="1:7" ht="14.4">
      <c r="A57" s="176"/>
      <c r="B57" s="468" t="s">
        <v>308</v>
      </c>
      <c r="D57" s="1266" t="s">
        <v>1161</v>
      </c>
      <c r="E57" s="1266"/>
      <c r="F57" s="1266"/>
    </row>
    <row r="58" spans="1:7">
      <c r="D58" s="1266"/>
      <c r="E58" s="1266"/>
      <c r="F58" s="1266"/>
    </row>
    <row r="59" spans="1:7">
      <c r="D59" s="1266"/>
      <c r="E59" s="1266"/>
      <c r="F59" s="1266"/>
    </row>
    <row r="60" spans="1:7">
      <c r="D60" s="3"/>
    </row>
    <row r="61" spans="1:7" ht="14.4">
      <c r="A61" s="176"/>
      <c r="B61" s="468" t="s">
        <v>308</v>
      </c>
      <c r="D61" s="1266" t="s">
        <v>1162</v>
      </c>
      <c r="E61" s="1266"/>
      <c r="F61" s="1266"/>
    </row>
    <row r="62" spans="1:7">
      <c r="D62" s="1266"/>
      <c r="E62" s="1266"/>
      <c r="F62" s="1266"/>
    </row>
    <row r="63" spans="1:7"/>
    <row r="64" spans="1:7" ht="14.4">
      <c r="A64" s="176"/>
      <c r="B64" s="468" t="s">
        <v>308</v>
      </c>
      <c r="D64" s="1266" t="s">
        <v>1163</v>
      </c>
      <c r="E64" s="1266"/>
      <c r="F64" s="1266"/>
    </row>
    <row r="65" spans="1:7">
      <c r="D65" s="1266"/>
      <c r="E65" s="1266"/>
      <c r="F65" s="1266"/>
    </row>
    <row r="66" spans="1:7">
      <c r="D66" s="1266"/>
      <c r="E66" s="1266"/>
      <c r="F66" s="1266"/>
    </row>
    <row r="67" spans="1:7">
      <c r="D67"/>
    </row>
    <row r="68" spans="1:7" ht="14.4">
      <c r="A68" s="176"/>
      <c r="B68" s="468" t="s">
        <v>308</v>
      </c>
      <c r="D68" s="1266" t="s">
        <v>1164</v>
      </c>
      <c r="E68" s="1266"/>
      <c r="F68" s="1266"/>
    </row>
    <row r="69" spans="1:7">
      <c r="D69" s="1266"/>
      <c r="E69" s="1266"/>
      <c r="F69" s="1266"/>
    </row>
    <row r="70" spans="1:7" ht="14.4">
      <c r="A70" s="176"/>
      <c r="B70" s="176"/>
      <c r="D70" s="35"/>
    </row>
    <row r="71" spans="1:7">
      <c r="A71" s="1287" t="s">
        <v>1071</v>
      </c>
      <c r="B71" s="1287"/>
      <c r="C71" s="1287"/>
      <c r="D71" s="1287"/>
      <c r="E71" s="1287"/>
      <c r="F71" s="1287"/>
      <c r="G71" s="1287"/>
    </row>
    <row r="72" spans="1:7"/>
    <row r="73" spans="1:7">
      <c r="C73" s="177"/>
      <c r="D73" s="1298" t="s">
        <v>1169</v>
      </c>
      <c r="E73" s="1298"/>
      <c r="F73" s="1298"/>
    </row>
    <row r="74" spans="1:7">
      <c r="A74" s="35"/>
      <c r="B74" s="35"/>
      <c r="D74" s="1266" t="s">
        <v>1196</v>
      </c>
      <c r="E74" s="1266"/>
      <c r="F74" s="1266"/>
    </row>
    <row r="75" spans="1:7">
      <c r="A75" s="35"/>
      <c r="B75" s="35"/>
    </row>
    <row r="76" spans="1:7" ht="14.4">
      <c r="A76" s="176"/>
      <c r="B76" s="468" t="s">
        <v>308</v>
      </c>
      <c r="D76" s="1266" t="s">
        <v>1170</v>
      </c>
      <c r="E76" s="1266"/>
      <c r="F76" s="1266"/>
    </row>
    <row r="77" spans="1:7" ht="14.4">
      <c r="A77" s="176"/>
      <c r="B77" s="176"/>
      <c r="D77" s="1266"/>
      <c r="E77" s="1266"/>
      <c r="F77" s="1266"/>
    </row>
    <row r="78" spans="1:7" ht="14.4">
      <c r="A78" s="176"/>
      <c r="B78" s="176"/>
      <c r="D78" s="1266"/>
      <c r="E78" s="1266"/>
      <c r="F78" s="1266"/>
    </row>
    <row r="79" spans="1:7" ht="14.4">
      <c r="A79" s="176"/>
      <c r="B79" s="176"/>
      <c r="D79" s="1266"/>
      <c r="E79" s="1266"/>
      <c r="F79" s="1266"/>
    </row>
    <row r="80" spans="1:7" ht="14.4">
      <c r="A80" s="176"/>
      <c r="B80" s="176"/>
      <c r="D80" s="1266"/>
      <c r="E80" s="1266"/>
      <c r="F80" s="1266"/>
    </row>
    <row r="81" spans="1:6" ht="14.4">
      <c r="A81" s="176"/>
      <c r="B81" s="176"/>
      <c r="D81" s="1266"/>
      <c r="E81" s="1266"/>
      <c r="F81" s="1266"/>
    </row>
    <row r="82" spans="1:6" ht="14.4">
      <c r="A82" s="176"/>
      <c r="B82" s="176"/>
      <c r="D82" s="474"/>
      <c r="E82" s="474"/>
      <c r="F82" s="474"/>
    </row>
    <row r="83" spans="1:6" ht="14.4" customHeight="1">
      <c r="A83" s="176"/>
      <c r="B83" s="468" t="s">
        <v>308</v>
      </c>
      <c r="D83" s="1269" t="s">
        <v>1269</v>
      </c>
      <c r="E83" s="1269"/>
      <c r="F83" s="1269"/>
    </row>
    <row r="84" spans="1:6" ht="14.4">
      <c r="A84" s="176"/>
      <c r="B84" s="176"/>
      <c r="D84" s="1269"/>
      <c r="E84" s="1269"/>
      <c r="F84" s="1269"/>
    </row>
    <row r="85" spans="1:6" ht="14.4">
      <c r="A85" s="176"/>
      <c r="B85" s="176"/>
      <c r="D85" s="1269"/>
      <c r="E85" s="1269"/>
      <c r="F85" s="1269"/>
    </row>
    <row r="86" spans="1:6" ht="14.4">
      <c r="A86" s="176"/>
      <c r="B86" s="176"/>
      <c r="D86" s="1269"/>
      <c r="E86" s="1269"/>
      <c r="F86" s="1269"/>
    </row>
    <row r="87" spans="1:6" ht="14.4">
      <c r="A87" s="176"/>
      <c r="B87" s="176"/>
      <c r="D87" s="1269"/>
      <c r="E87" s="1269"/>
      <c r="F87" s="1269"/>
    </row>
    <row r="88" spans="1:6" ht="14.4">
      <c r="A88" s="176"/>
      <c r="B88" s="176"/>
      <c r="D88" s="1269"/>
      <c r="E88" s="1269"/>
      <c r="F88" s="1269"/>
    </row>
    <row r="89" spans="1:6" ht="14.4">
      <c r="A89" s="176"/>
      <c r="B89" s="176"/>
      <c r="D89" s="1269"/>
      <c r="E89" s="1269"/>
      <c r="F89" s="1269"/>
    </row>
    <row r="90" spans="1:6" ht="14.4">
      <c r="A90" s="176"/>
      <c r="B90" s="176"/>
      <c r="D90" s="1269"/>
      <c r="E90" s="1269"/>
      <c r="F90" s="1269"/>
    </row>
    <row r="91" spans="1:6" ht="14.4">
      <c r="A91" s="176"/>
      <c r="B91" s="176"/>
      <c r="D91" s="1269"/>
      <c r="E91" s="1269"/>
      <c r="F91" s="1269"/>
    </row>
    <row r="92" spans="1:6" ht="14.4">
      <c r="A92" s="176"/>
      <c r="B92" s="176"/>
      <c r="D92" s="1269"/>
      <c r="E92" s="1269"/>
      <c r="F92" s="1269"/>
    </row>
    <row r="93" spans="1:6" ht="14.4">
      <c r="A93" s="176"/>
      <c r="B93" s="176"/>
      <c r="D93" s="1269"/>
      <c r="E93" s="1269"/>
      <c r="F93" s="1269"/>
    </row>
    <row r="94" spans="1:6" ht="14.4">
      <c r="A94" s="176"/>
      <c r="B94" s="176"/>
      <c r="D94" s="1269"/>
      <c r="E94" s="1269"/>
      <c r="F94" s="1269"/>
    </row>
    <row r="95" spans="1:6" ht="14.4">
      <c r="A95" s="176"/>
      <c r="B95" s="176"/>
      <c r="D95" s="1269"/>
      <c r="E95" s="1269"/>
      <c r="F95" s="1269"/>
    </row>
    <row r="96" spans="1:6" ht="14.4">
      <c r="A96" s="176"/>
      <c r="B96" s="176"/>
      <c r="D96" s="1269"/>
      <c r="E96" s="1269"/>
      <c r="F96" s="1269"/>
    </row>
    <row r="97" spans="1:11" ht="14.4">
      <c r="A97" s="176"/>
      <c r="B97" s="468" t="s">
        <v>308</v>
      </c>
      <c r="D97" s="1266" t="s">
        <v>1171</v>
      </c>
      <c r="E97" s="1266"/>
      <c r="F97" s="1266"/>
    </row>
    <row r="98" spans="1:11" ht="14.4">
      <c r="A98" s="176"/>
      <c r="B98" s="176"/>
      <c r="D98" s="1266"/>
      <c r="E98" s="1266"/>
      <c r="F98" s="1266"/>
    </row>
    <row r="99" spans="1:11" ht="14.4">
      <c r="A99" s="176"/>
      <c r="B99" s="176"/>
      <c r="D99" s="1266"/>
      <c r="E99" s="1266"/>
      <c r="F99" s="1266"/>
    </row>
    <row r="100" spans="1:11" ht="14.4">
      <c r="A100" s="176"/>
      <c r="B100" s="176"/>
      <c r="D100" s="1266"/>
      <c r="E100" s="1266"/>
      <c r="F100" s="1266"/>
    </row>
    <row r="101" spans="1:11" ht="14.4">
      <c r="A101" s="176"/>
      <c r="B101" s="176"/>
      <c r="D101" s="1266"/>
      <c r="E101" s="1266"/>
      <c r="F101" s="1266"/>
    </row>
    <row r="102" spans="1:11" ht="14.4">
      <c r="A102" s="176"/>
      <c r="B102" s="176"/>
      <c r="D102" s="1266"/>
      <c r="E102" s="1266"/>
      <c r="F102" s="1266"/>
    </row>
    <row r="103" spans="1:11" ht="14.4">
      <c r="A103" s="176"/>
      <c r="B103" s="176"/>
      <c r="D103" s="1266"/>
      <c r="E103" s="1266"/>
      <c r="F103" s="1266"/>
    </row>
    <row r="104" spans="1:11" ht="14.4">
      <c r="A104" s="176"/>
      <c r="B104" s="176"/>
      <c r="D104" s="1266"/>
      <c r="E104" s="1266"/>
      <c r="F104" s="1266"/>
    </row>
    <row r="105" spans="1:11" ht="14.4">
      <c r="A105" s="176"/>
      <c r="B105" s="176"/>
      <c r="D105" s="474"/>
      <c r="E105" s="474"/>
      <c r="F105" s="474"/>
    </row>
    <row r="106" spans="1:11" ht="14.4">
      <c r="A106" s="176"/>
      <c r="B106" s="468" t="s">
        <v>308</v>
      </c>
      <c r="C106" s="179"/>
      <c r="D106" s="1307" t="s">
        <v>1172</v>
      </c>
      <c r="E106" s="1307"/>
      <c r="F106" s="1307"/>
      <c r="G106" s="183"/>
      <c r="H106" s="181"/>
      <c r="I106" s="181"/>
      <c r="J106" s="181"/>
      <c r="K106" s="181"/>
    </row>
    <row r="107" spans="1:11" ht="14.4">
      <c r="A107" s="176"/>
      <c r="B107" s="176"/>
      <c r="C107" s="179"/>
      <c r="D107" s="1307"/>
      <c r="E107" s="1307"/>
      <c r="F107" s="1307"/>
      <c r="G107" s="183"/>
      <c r="H107" s="181"/>
      <c r="I107" s="181"/>
      <c r="J107" s="181"/>
      <c r="K107" s="181"/>
    </row>
    <row r="108" spans="1:11" ht="14.4">
      <c r="A108" s="176"/>
      <c r="B108" s="176"/>
      <c r="C108" s="179"/>
      <c r="D108" s="1307"/>
      <c r="E108" s="1307"/>
      <c r="F108" s="1307"/>
      <c r="G108" s="183"/>
      <c r="H108" s="181"/>
      <c r="I108" s="181"/>
      <c r="J108" s="181"/>
      <c r="K108" s="181"/>
    </row>
    <row r="109" spans="1:11" ht="14.4">
      <c r="A109" s="176"/>
      <c r="B109" s="176"/>
      <c r="C109" s="179"/>
      <c r="D109" s="1307"/>
      <c r="E109" s="1307"/>
      <c r="F109" s="1307"/>
      <c r="G109" s="183"/>
      <c r="H109" s="181"/>
      <c r="I109" s="181"/>
      <c r="J109" s="181"/>
      <c r="K109" s="181"/>
    </row>
    <row r="110" spans="1:11" ht="14.4">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4">
      <c r="A114" s="176"/>
      <c r="B114" s="468" t="s">
        <v>308</v>
      </c>
      <c r="C114"/>
      <c r="D114" s="1308" t="s">
        <v>1173</v>
      </c>
      <c r="E114" s="1308"/>
      <c r="F114" s="1308"/>
      <c r="G114"/>
    </row>
    <row r="115" spans="1:7" ht="14.4">
      <c r="A115" s="176"/>
      <c r="B115" s="176"/>
      <c r="C115"/>
      <c r="D115" s="1308"/>
      <c r="E115" s="1308"/>
      <c r="F115" s="1308"/>
      <c r="G115"/>
    </row>
    <row r="116" spans="1:7"/>
    <row r="117" spans="1:7" ht="14.4">
      <c r="A117" s="176"/>
      <c r="B117" s="468" t="s">
        <v>308</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4">
      <c r="A123" s="176"/>
      <c r="B123" s="468" t="s">
        <v>308</v>
      </c>
      <c r="D123" s="1266" t="s">
        <v>1175</v>
      </c>
      <c r="E123" s="1266"/>
      <c r="F123" s="1266"/>
    </row>
    <row r="124" spans="1:7" s="197" customFormat="1" ht="13.65" customHeight="1">
      <c r="A124" s="195"/>
      <c r="B124" s="195"/>
      <c r="C124" s="195"/>
      <c r="D124" s="1266"/>
      <c r="E124" s="1266"/>
      <c r="F124" s="1266"/>
      <c r="G124" s="196"/>
    </row>
    <row r="125" spans="1:7" ht="13.65" customHeight="1">
      <c r="D125" s="1266"/>
      <c r="E125" s="1266"/>
      <c r="F125" s="1266"/>
    </row>
    <row r="126" spans="1:7" ht="13.65" customHeight="1">
      <c r="D126" s="1266"/>
      <c r="E126" s="1266"/>
      <c r="F126" s="1266"/>
    </row>
    <row r="127" spans="1:7" ht="13.65" customHeight="1">
      <c r="D127" s="1266"/>
      <c r="E127" s="1266"/>
      <c r="F127" s="1266"/>
    </row>
    <row r="128" spans="1:7" ht="13.65" customHeight="1">
      <c r="A128" s="256"/>
      <c r="B128" s="256"/>
      <c r="D128" s="1266"/>
      <c r="E128" s="1266"/>
      <c r="F128" s="1266"/>
    </row>
    <row r="129" spans="2:6" ht="13.65" customHeight="1">
      <c r="D129" s="1266"/>
      <c r="E129" s="1266"/>
      <c r="F129" s="1266"/>
    </row>
    <row r="130" spans="2:6" ht="13.65" customHeight="1">
      <c r="D130" s="1266"/>
      <c r="E130" s="1266"/>
      <c r="F130" s="1266"/>
    </row>
    <row r="131" spans="2:6" ht="13.65" customHeight="1">
      <c r="D131" s="1266"/>
      <c r="E131" s="1266"/>
      <c r="F131" s="1266"/>
    </row>
    <row r="132" spans="2:6" ht="13.65" customHeight="1">
      <c r="D132" s="1266"/>
      <c r="E132" s="1266"/>
      <c r="F132" s="1266"/>
    </row>
    <row r="133" spans="2:6" ht="13.65" customHeight="1">
      <c r="D133" s="1266"/>
      <c r="E133" s="1266"/>
      <c r="F133" s="1266"/>
    </row>
    <row r="134" spans="2:6" ht="13.65" customHeight="1">
      <c r="D134" s="1266"/>
      <c r="E134" s="1266"/>
      <c r="F134" s="1266"/>
    </row>
    <row r="135" spans="2:6" ht="13.65" customHeight="1">
      <c r="D135" s="218"/>
      <c r="E135" s="35"/>
      <c r="F135" s="35"/>
    </row>
    <row r="136" spans="2:6" ht="13.65" customHeight="1">
      <c r="B136" s="468" t="s">
        <v>308</v>
      </c>
      <c r="D136" s="1266" t="s">
        <v>1283</v>
      </c>
      <c r="E136" s="1266"/>
      <c r="F136" s="1266"/>
    </row>
    <row r="137" spans="2:6" ht="13.65" customHeight="1">
      <c r="D137" s="1266"/>
      <c r="E137" s="1266"/>
      <c r="F137" s="1266"/>
    </row>
    <row r="138" spans="2:6" ht="13.65" customHeight="1">
      <c r="D138" s="1266"/>
      <c r="E138" s="1266"/>
      <c r="F138" s="1266"/>
    </row>
    <row r="139" spans="2:6" ht="13.65" customHeight="1">
      <c r="D139" s="1266"/>
      <c r="E139" s="1266"/>
      <c r="F139" s="1266"/>
    </row>
    <row r="140" spans="2:6" ht="13.65" customHeight="1">
      <c r="D140" s="1266"/>
      <c r="E140" s="1266"/>
      <c r="F140" s="1266"/>
    </row>
    <row r="141" spans="2:6" ht="13.65" customHeight="1">
      <c r="D141" s="1266"/>
      <c r="E141" s="1266"/>
      <c r="F141" s="1266"/>
    </row>
    <row r="142" spans="2:6" ht="13.65" customHeight="1">
      <c r="D142" s="1266"/>
      <c r="E142" s="1266"/>
      <c r="F142" s="1266"/>
    </row>
    <row r="143" spans="2:6" ht="13.65" customHeight="1">
      <c r="D143" s="1266"/>
      <c r="E143" s="1266"/>
      <c r="F143" s="1266"/>
    </row>
    <row r="144" spans="2:6" ht="13.65" customHeight="1">
      <c r="D144" s="1266"/>
      <c r="E144" s="1266"/>
      <c r="F144" s="1266"/>
    </row>
    <row r="145" spans="1:7" ht="13.65" customHeight="1">
      <c r="D145" s="1266"/>
      <c r="E145" s="1266"/>
      <c r="F145" s="1266"/>
    </row>
    <row r="146" spans="1:7" ht="13.65" customHeight="1">
      <c r="D146" s="1266"/>
      <c r="E146" s="1266"/>
      <c r="F146" s="1266"/>
    </row>
    <row r="147" spans="1:7" ht="13.65" customHeight="1">
      <c r="D147" s="1266"/>
      <c r="E147" s="1266"/>
      <c r="F147" s="1266"/>
    </row>
    <row r="148" spans="1:7" ht="13.65" customHeight="1">
      <c r="D148" s="1266"/>
      <c r="E148" s="1266"/>
      <c r="F148" s="1266"/>
    </row>
    <row r="149" spans="1:7" ht="13.65" customHeight="1">
      <c r="D149" s="1266"/>
      <c r="E149" s="1266"/>
      <c r="F149" s="1266"/>
    </row>
    <row r="150" spans="1:7" ht="13.65" customHeight="1">
      <c r="D150" s="1266"/>
      <c r="E150" s="1266"/>
      <c r="F150" s="1266"/>
    </row>
    <row r="151" spans="1:7" ht="13.65" customHeight="1">
      <c r="D151" s="1266"/>
      <c r="E151" s="1266"/>
      <c r="F151" s="1266"/>
    </row>
    <row r="152" spans="1:7" ht="13.65" customHeight="1">
      <c r="D152" s="1266"/>
      <c r="E152" s="1266"/>
      <c r="F152" s="1266"/>
    </row>
    <row r="153" spans="1:7" ht="13.65" customHeight="1">
      <c r="D153" s="1266"/>
      <c r="E153" s="1266"/>
      <c r="F153" s="1266"/>
    </row>
    <row r="154" spans="1:7" ht="13.65" customHeight="1">
      <c r="D154" s="1266"/>
      <c r="E154" s="1266"/>
      <c r="F154" s="1266"/>
    </row>
    <row r="155" spans="1:7" ht="13.65" customHeight="1">
      <c r="D155" s="218"/>
      <c r="E155" s="35"/>
      <c r="F155" s="35"/>
    </row>
    <row r="156" spans="1:7" ht="13.65" customHeight="1">
      <c r="A156" s="256"/>
      <c r="B156" s="468" t="s">
        <v>308</v>
      </c>
      <c r="C156" s="218"/>
      <c r="D156" s="1269" t="s">
        <v>1176</v>
      </c>
      <c r="E156" s="1269"/>
      <c r="F156" s="1269"/>
      <c r="G156" s="218"/>
    </row>
    <row r="157" spans="1:7" ht="13.65" customHeight="1">
      <c r="A157" s="256"/>
      <c r="B157" s="256"/>
      <c r="C157" s="218"/>
      <c r="D157" s="1269"/>
      <c r="E157" s="1269"/>
      <c r="F157" s="1269"/>
      <c r="G157" s="218"/>
    </row>
    <row r="158" spans="1:7" ht="13.65" customHeight="1">
      <c r="A158" s="256"/>
      <c r="B158" s="256"/>
      <c r="C158" s="218"/>
      <c r="D158" s="218"/>
      <c r="E158" s="218"/>
      <c r="F158" s="218"/>
      <c r="G158" s="218"/>
    </row>
    <row r="159" spans="1:7" ht="13.65" customHeight="1">
      <c r="A159" s="256"/>
      <c r="B159" s="468" t="s">
        <v>308</v>
      </c>
      <c r="C159" s="218"/>
      <c r="D159" s="1269" t="s">
        <v>1177</v>
      </c>
      <c r="E159" s="1269"/>
      <c r="F159" s="1269"/>
      <c r="G159" s="218"/>
    </row>
    <row r="160" spans="1:7" ht="13.65" customHeight="1">
      <c r="A160" s="256"/>
      <c r="B160" s="256"/>
      <c r="C160" s="218"/>
      <c r="D160" s="1269"/>
      <c r="E160" s="1269"/>
      <c r="F160" s="1269"/>
      <c r="G160" s="218"/>
    </row>
    <row r="161" spans="1:7" ht="13.65" customHeight="1">
      <c r="A161" s="256"/>
      <c r="B161" s="256"/>
      <c r="C161" s="218"/>
      <c r="D161" s="1269"/>
      <c r="E161" s="1269"/>
      <c r="F161" s="1269"/>
      <c r="G161" s="218"/>
    </row>
    <row r="162" spans="1:7" ht="13.65" customHeight="1">
      <c r="A162" s="256"/>
      <c r="B162" s="256"/>
      <c r="C162" s="218"/>
      <c r="D162" s="1269"/>
      <c r="E162" s="1269"/>
      <c r="F162" s="1269"/>
      <c r="G162" s="218"/>
    </row>
    <row r="163" spans="1:7" ht="13.65" customHeight="1">
      <c r="D163" s="35"/>
      <c r="E163" s="35"/>
      <c r="F163" s="35"/>
    </row>
    <row r="164" spans="1:7" ht="13.65" customHeight="1">
      <c r="B164" s="468" t="s">
        <v>308</v>
      </c>
      <c r="D164" s="1303" t="s">
        <v>1178</v>
      </c>
      <c r="E164" s="1303"/>
      <c r="F164" s="1303"/>
    </row>
    <row r="165" spans="1:7" ht="13.65" customHeight="1">
      <c r="D165" s="1303"/>
      <c r="E165" s="1303"/>
      <c r="F165" s="1303"/>
    </row>
    <row r="166" spans="1:7" ht="13.65" customHeight="1">
      <c r="D166" s="1303"/>
      <c r="E166" s="1303"/>
      <c r="F166" s="1303"/>
    </row>
    <row r="167" spans="1:7" ht="13.65" customHeight="1">
      <c r="A167" s="13"/>
      <c r="B167" s="13"/>
      <c r="E167" s="35"/>
      <c r="F167" s="35"/>
    </row>
    <row r="168" spans="1:7">
      <c r="A168" s="1287" t="s">
        <v>1072</v>
      </c>
      <c r="B168" s="1287"/>
      <c r="C168" s="1287"/>
      <c r="D168" s="1287"/>
      <c r="E168" s="1287"/>
      <c r="F168" s="1287"/>
      <c r="G168" s="1287"/>
    </row>
    <row r="169" spans="1:7" ht="12" customHeight="1">
      <c r="D169" s="35"/>
      <c r="E169" s="35"/>
      <c r="F169" s="35"/>
    </row>
    <row r="170" spans="1:7">
      <c r="B170" s="1284" t="s">
        <v>448</v>
      </c>
      <c r="C170" s="1284"/>
      <c r="D170" s="1284"/>
      <c r="E170" s="1284"/>
      <c r="F170" s="1284"/>
    </row>
    <row r="171" spans="1:7" ht="12" customHeight="1">
      <c r="A171" s="172"/>
      <c r="B171" s="172"/>
      <c r="C171" s="172"/>
    </row>
    <row r="172" spans="1:7">
      <c r="A172" s="1287" t="s">
        <v>1073</v>
      </c>
      <c r="B172" s="1287"/>
      <c r="C172" s="1287"/>
      <c r="D172" s="1287"/>
      <c r="E172" s="1287"/>
      <c r="F172" s="1287"/>
      <c r="G172" s="1287"/>
    </row>
    <row r="173" spans="1:7" ht="12" customHeight="1">
      <c r="A173" s="2"/>
      <c r="B173" s="2"/>
      <c r="E173" s="2"/>
    </row>
    <row r="174" spans="1:7" ht="13.2" customHeight="1">
      <c r="A174" s="2"/>
      <c r="B174" s="2"/>
      <c r="D174" s="1309" t="s">
        <v>1181</v>
      </c>
      <c r="E174" s="1309"/>
      <c r="F174" s="1309"/>
    </row>
    <row r="175" spans="1:7">
      <c r="A175" s="2"/>
      <c r="B175" s="2"/>
      <c r="D175" s="1309"/>
      <c r="E175" s="1309"/>
      <c r="F175" s="1309"/>
    </row>
    <row r="176" spans="1:7">
      <c r="A176" s="2"/>
      <c r="B176" s="2"/>
      <c r="D176" s="1296" t="s">
        <v>1182</v>
      </c>
      <c r="E176" s="1296"/>
      <c r="F176" s="1296"/>
    </row>
    <row r="177" spans="1:7" ht="12" customHeight="1">
      <c r="A177" s="2"/>
      <c r="B177" s="2"/>
      <c r="E177" s="2"/>
    </row>
    <row r="178" spans="1:7" ht="14.4">
      <c r="A178" s="176"/>
      <c r="B178" s="468" t="s">
        <v>308</v>
      </c>
      <c r="D178" s="1281" t="s">
        <v>1180</v>
      </c>
      <c r="E178" s="1281"/>
      <c r="F178" s="1281"/>
    </row>
    <row r="179" spans="1:7" ht="14.4">
      <c r="A179" s="176"/>
      <c r="B179" s="176"/>
      <c r="D179" s="1281"/>
      <c r="E179" s="1281"/>
      <c r="F179" s="1281"/>
    </row>
    <row r="180" spans="1:7" ht="14.4">
      <c r="A180" s="176"/>
      <c r="B180" s="176"/>
      <c r="D180" s="1281"/>
      <c r="E180" s="1281"/>
      <c r="F180" s="1281"/>
    </row>
    <row r="181" spans="1:7">
      <c r="D181" s="1281"/>
      <c r="E181" s="1281"/>
      <c r="F181" s="1281"/>
    </row>
    <row r="182" spans="1:7">
      <c r="D182" s="220"/>
    </row>
    <row r="183" spans="1:7">
      <c r="D183" s="1302" t="s">
        <v>1089</v>
      </c>
      <c r="E183" s="1302"/>
      <c r="F183" s="1302"/>
    </row>
    <row r="184" spans="1:7">
      <c r="D184" s="1302"/>
      <c r="E184" s="1302"/>
      <c r="F184" s="1302"/>
    </row>
    <row r="185" spans="1:7">
      <c r="D185" s="475"/>
      <c r="E185" s="475"/>
      <c r="F185" s="475"/>
    </row>
    <row r="186" spans="1:7" ht="14.4">
      <c r="A186" s="176"/>
      <c r="B186" s="468" t="s">
        <v>308</v>
      </c>
      <c r="C186" s="385"/>
      <c r="D186" s="1266" t="s">
        <v>1179</v>
      </c>
      <c r="E186" s="1266"/>
      <c r="F186" s="1266"/>
      <c r="G186" s="3"/>
    </row>
    <row r="187" spans="1:7" ht="14.4" customHeight="1">
      <c r="A187" s="176"/>
      <c r="B187"/>
      <c r="C187" s="385"/>
      <c r="D187" s="1266"/>
      <c r="E187" s="1266"/>
      <c r="F187" s="1266"/>
      <c r="G187" s="3"/>
    </row>
    <row r="188" spans="1:7" ht="14.4">
      <c r="A188" s="176"/>
      <c r="B188" s="385"/>
      <c r="C188" s="385"/>
      <c r="D188" s="1266"/>
      <c r="E188" s="1266"/>
      <c r="F188" s="1266"/>
      <c r="G188" s="3"/>
    </row>
    <row r="189" spans="1:7" ht="14.4">
      <c r="A189" s="176"/>
      <c r="B189" s="385"/>
      <c r="C189" s="385"/>
      <c r="D189" s="1266"/>
      <c r="E189" s="1266"/>
      <c r="F189" s="1266"/>
      <c r="G189" s="3"/>
    </row>
    <row r="190" spans="1:7">
      <c r="D190" s="475"/>
      <c r="E190" s="475"/>
      <c r="F190" s="475"/>
    </row>
    <row r="191" spans="1:7">
      <c r="A191" s="1287" t="s">
        <v>1074</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1203</v>
      </c>
      <c r="E194" s="1292"/>
      <c r="F194" s="1292"/>
    </row>
    <row r="195" spans="1:6" ht="12" customHeight="1">
      <c r="A195" s="13"/>
      <c r="B195" s="13"/>
      <c r="C195" s="13"/>
    </row>
    <row r="196" spans="1:6" ht="13.2" customHeight="1">
      <c r="A196" s="13"/>
      <c r="C196" s="13"/>
      <c r="D196" s="1285" t="s">
        <v>554</v>
      </c>
      <c r="E196" s="1285"/>
      <c r="F196" s="1285"/>
    </row>
    <row r="197" spans="1:6" ht="14.4">
      <c r="A197" s="176"/>
      <c r="B197" s="468" t="s">
        <v>308</v>
      </c>
      <c r="D197" s="1266" t="s">
        <v>1197</v>
      </c>
      <c r="E197" s="1266"/>
      <c r="F197" s="1266"/>
    </row>
    <row r="198" spans="1:6" ht="14.4">
      <c r="A198" s="176"/>
      <c r="B198" s="176"/>
      <c r="D198" s="1266"/>
      <c r="E198" s="1266"/>
      <c r="F198" s="1266"/>
    </row>
    <row r="199" spans="1:6"/>
    <row r="200" spans="1:6" ht="14.4">
      <c r="A200" s="176"/>
      <c r="B200" s="468" t="s">
        <v>308</v>
      </c>
      <c r="D200" s="1266" t="s">
        <v>1198</v>
      </c>
      <c r="E200" s="1266"/>
      <c r="F200" s="1266"/>
    </row>
    <row r="201" spans="1:6" ht="14.4">
      <c r="A201" s="176"/>
      <c r="B201" s="176"/>
      <c r="D201" s="1266"/>
      <c r="E201" s="1266"/>
      <c r="F201" s="1266"/>
    </row>
    <row r="202" spans="1:6" ht="14.4">
      <c r="A202" s="176"/>
      <c r="B202" s="176"/>
      <c r="D202" s="1266"/>
      <c r="E202" s="1266"/>
      <c r="F202" s="1266"/>
    </row>
    <row r="203" spans="1:6" ht="5.0999999999999996" customHeight="1">
      <c r="A203" s="176"/>
      <c r="B203" s="176"/>
      <c r="D203" s="35"/>
      <c r="E203" s="35"/>
      <c r="F203" s="35"/>
    </row>
    <row r="204" spans="1:6" ht="14.4">
      <c r="A204" s="176"/>
      <c r="B204" s="176"/>
      <c r="D204" s="1266" t="s">
        <v>1199</v>
      </c>
      <c r="E204" s="1266"/>
      <c r="F204" s="1266"/>
    </row>
    <row r="205" spans="1:6" ht="14.4">
      <c r="A205" s="176"/>
      <c r="B205" s="176"/>
      <c r="D205" s="1266"/>
      <c r="E205" s="1266"/>
      <c r="F205" s="1266"/>
    </row>
    <row r="206" spans="1:6" ht="14.4">
      <c r="A206" s="176"/>
      <c r="B206" s="176"/>
      <c r="D206" s="1266"/>
      <c r="E206" s="1266"/>
      <c r="F206" s="1266"/>
    </row>
    <row r="207" spans="1:6" ht="14.4">
      <c r="A207" s="176"/>
      <c r="B207" s="176"/>
      <c r="D207" s="1266"/>
      <c r="E207" s="1266"/>
      <c r="F207" s="1266"/>
    </row>
    <row r="208" spans="1:6" ht="14.4">
      <c r="A208" s="176"/>
      <c r="B208" s="176"/>
      <c r="D208" s="1266"/>
      <c r="E208" s="1266"/>
      <c r="F208" s="1266"/>
    </row>
    <row r="209" spans="1:7" ht="14.4">
      <c r="A209" s="176"/>
      <c r="B209" s="176"/>
      <c r="D209" s="35"/>
      <c r="E209" s="35"/>
      <c r="F209" s="35"/>
    </row>
    <row r="210" spans="1:7" ht="14.4">
      <c r="A210" s="176"/>
      <c r="B210" s="468" t="s">
        <v>308</v>
      </c>
      <c r="D210" s="1266" t="s">
        <v>1200</v>
      </c>
      <c r="E210" s="1266"/>
      <c r="F210" s="1266"/>
    </row>
    <row r="211" spans="1:7" ht="14.4">
      <c r="A211" s="176"/>
      <c r="B211" s="176"/>
      <c r="D211" s="1266"/>
      <c r="E211" s="1266"/>
      <c r="F211" s="1266"/>
    </row>
    <row r="212" spans="1:7" ht="14.4">
      <c r="A212" s="176"/>
      <c r="B212" s="176"/>
      <c r="D212" s="1284" t="s">
        <v>909</v>
      </c>
      <c r="E212" s="1284"/>
      <c r="F212" s="1284"/>
    </row>
    <row r="213" spans="1:7" ht="14.4">
      <c r="A213" s="176"/>
      <c r="B213" s="176"/>
      <c r="D213" s="35"/>
      <c r="E213" s="35"/>
      <c r="F213" s="35"/>
    </row>
    <row r="214" spans="1:7" ht="14.4" customHeight="1">
      <c r="A214" s="176"/>
      <c r="B214" s="468" t="s">
        <v>308</v>
      </c>
      <c r="D214" s="1266" t="s">
        <v>1202</v>
      </c>
      <c r="E214" s="1266"/>
      <c r="F214" s="1266"/>
    </row>
    <row r="215" spans="1:7" ht="14.4">
      <c r="A215" s="176"/>
      <c r="B215" s="176"/>
      <c r="D215" s="1266"/>
      <c r="E215" s="1266"/>
      <c r="F215" s="1266"/>
    </row>
    <row r="216" spans="1:7" ht="14.4">
      <c r="A216" s="176"/>
      <c r="B216" s="176"/>
      <c r="D216" s="1266"/>
      <c r="E216" s="1266"/>
      <c r="F216" s="1266"/>
    </row>
    <row r="217" spans="1:7" ht="14.4">
      <c r="A217" s="176"/>
      <c r="B217" s="176"/>
      <c r="D217" s="1266"/>
      <c r="E217" s="1266"/>
      <c r="F217" s="1266"/>
    </row>
    <row r="218" spans="1:7" ht="14.4">
      <c r="A218" s="176"/>
      <c r="B218" s="176"/>
      <c r="D218" s="1266"/>
      <c r="E218" s="1266"/>
      <c r="F218" s="1266"/>
    </row>
    <row r="219" spans="1:7">
      <c r="D219" s="35"/>
      <c r="E219" s="35"/>
      <c r="F219" s="35"/>
    </row>
    <row r="220" spans="1:7" ht="14.4">
      <c r="A220" s="176"/>
      <c r="B220" s="468" t="s">
        <v>308</v>
      </c>
      <c r="D220" s="1266" t="s">
        <v>1201</v>
      </c>
      <c r="E220" s="1266"/>
      <c r="F220" s="1266"/>
    </row>
    <row r="221" spans="1:7" ht="14.4">
      <c r="A221" s="176"/>
      <c r="B221" s="176"/>
      <c r="D221" s="1266"/>
      <c r="E221" s="1266"/>
      <c r="F221" s="1266"/>
    </row>
    <row r="222" spans="1:7">
      <c r="D222" s="19"/>
    </row>
    <row r="223" spans="1:7">
      <c r="A223" s="1287" t="s">
        <v>1075</v>
      </c>
      <c r="B223" s="1287"/>
      <c r="C223" s="1287"/>
      <c r="D223" s="1287"/>
      <c r="E223" s="1287"/>
      <c r="F223" s="1287"/>
      <c r="G223" s="1287"/>
    </row>
    <row r="224" spans="1:7">
      <c r="D224" s="19"/>
    </row>
    <row r="225" spans="1:6">
      <c r="C225" s="177"/>
      <c r="D225" s="1285" t="s">
        <v>1204</v>
      </c>
      <c r="E225" s="1285"/>
      <c r="F225" s="1285"/>
    </row>
    <row r="226" spans="1:6">
      <c r="A226" s="172"/>
      <c r="B226" s="172"/>
      <c r="C226" s="172"/>
      <c r="D226" s="35"/>
      <c r="E226" s="35"/>
      <c r="F226" s="35"/>
    </row>
    <row r="227" spans="1:6">
      <c r="A227" s="175"/>
      <c r="B227" s="175"/>
      <c r="C227" s="175"/>
      <c r="D227" s="1285" t="s">
        <v>270</v>
      </c>
      <c r="E227" s="1285"/>
      <c r="F227" s="1285"/>
    </row>
    <row r="228" spans="1:6" ht="14.4">
      <c r="A228" s="176"/>
      <c r="B228" s="468" t="s">
        <v>308</v>
      </c>
      <c r="D228" s="1315" t="s">
        <v>1205</v>
      </c>
      <c r="E228" s="1315"/>
      <c r="F228" s="1315"/>
    </row>
    <row r="229" spans="1:6" ht="14.4">
      <c r="A229" s="176"/>
      <c r="B229" s="176"/>
      <c r="D229" s="1315"/>
      <c r="E229" s="1315"/>
      <c r="F229" s="1315"/>
    </row>
    <row r="230" spans="1:6">
      <c r="D230" s="35"/>
      <c r="E230" s="35"/>
      <c r="F230" s="35"/>
    </row>
    <row r="231" spans="1:6" ht="14.4" customHeight="1">
      <c r="A231" s="176"/>
      <c r="B231" s="468" t="s">
        <v>308</v>
      </c>
      <c r="D231" s="1266" t="s">
        <v>1206</v>
      </c>
      <c r="E231" s="1266"/>
      <c r="F231" s="1266"/>
    </row>
    <row r="232" spans="1:6">
      <c r="D232" s="1266"/>
      <c r="E232" s="1266"/>
      <c r="F232" s="1266"/>
    </row>
    <row r="233" spans="1:6">
      <c r="D233" s="1292" t="s">
        <v>901</v>
      </c>
      <c r="E233" s="1292"/>
      <c r="F233" s="1292"/>
    </row>
    <row r="234" spans="1:6">
      <c r="D234" s="35"/>
      <c r="E234" s="35"/>
      <c r="F234" s="35"/>
    </row>
    <row r="235" spans="1:6" ht="14.4" customHeight="1">
      <c r="A235" s="176"/>
      <c r="B235" s="468" t="s">
        <v>308</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4">
      <c r="A241" s="176"/>
      <c r="B241" s="468" t="s">
        <v>308</v>
      </c>
      <c r="D241" s="1266" t="s">
        <v>1207</v>
      </c>
      <c r="E241" s="1266"/>
      <c r="F241" s="1266"/>
    </row>
    <row r="242" spans="1:7">
      <c r="D242" s="1266"/>
      <c r="E242" s="1266"/>
      <c r="F242" s="1266"/>
    </row>
    <row r="243" spans="1:7">
      <c r="D243" s="1266"/>
      <c r="E243" s="1266"/>
      <c r="F243" s="1266"/>
    </row>
    <row r="244" spans="1:7">
      <c r="D244" s="178"/>
      <c r="E244" s="35"/>
      <c r="F244" s="35"/>
    </row>
    <row r="245" spans="1:7">
      <c r="A245" s="1287" t="s">
        <v>1076</v>
      </c>
      <c r="B245" s="1287"/>
      <c r="C245" s="1287"/>
      <c r="D245" s="1287"/>
      <c r="E245" s="1287"/>
      <c r="F245" s="1287"/>
      <c r="G245" s="1287"/>
    </row>
    <row r="246" spans="1:7">
      <c r="D246" s="178"/>
      <c r="E246" s="35"/>
      <c r="F246" s="35"/>
    </row>
    <row r="247" spans="1:7">
      <c r="C247" s="172"/>
      <c r="D247" s="1298" t="s">
        <v>1209</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1210</v>
      </c>
      <c r="E251" s="1291"/>
      <c r="F251" s="1291"/>
    </row>
    <row r="252" spans="1:7">
      <c r="E252" s="35"/>
      <c r="F252" s="35"/>
    </row>
    <row r="253" spans="1:7" ht="14.4">
      <c r="A253" s="176"/>
      <c r="B253" s="468" t="s">
        <v>308</v>
      </c>
      <c r="D253" s="1266" t="s">
        <v>1211</v>
      </c>
      <c r="E253" s="1266"/>
      <c r="F253" s="1266"/>
    </row>
    <row r="254" spans="1:7" ht="14.4">
      <c r="A254" s="176"/>
      <c r="B254" s="176"/>
      <c r="D254" s="1266"/>
      <c r="E254" s="1266"/>
      <c r="F254" s="1266"/>
    </row>
    <row r="255" spans="1:7">
      <c r="D255" s="35"/>
      <c r="E255" s="35"/>
      <c r="F255" s="35"/>
    </row>
    <row r="256" spans="1:7" ht="14.4">
      <c r="A256" s="176"/>
      <c r="B256" s="468" t="s">
        <v>308</v>
      </c>
      <c r="D256" s="1266" t="s">
        <v>1212</v>
      </c>
      <c r="E256" s="1266"/>
      <c r="F256" s="1266"/>
    </row>
    <row r="257" spans="1:7" ht="14.4">
      <c r="A257" s="176"/>
      <c r="B257" s="176"/>
      <c r="D257" s="1266"/>
      <c r="E257" s="1266"/>
      <c r="F257" s="1266"/>
    </row>
    <row r="258" spans="1:7" ht="14.4">
      <c r="A258" s="176"/>
      <c r="B258" s="176"/>
      <c r="D258" s="1266"/>
      <c r="E258" s="1266"/>
      <c r="F258" s="1266"/>
    </row>
    <row r="259" spans="1:7">
      <c r="D259" s="35"/>
      <c r="E259" s="35"/>
      <c r="F259" s="35"/>
    </row>
    <row r="260" spans="1:7" ht="14.4">
      <c r="A260" s="176"/>
      <c r="B260" s="468" t="s">
        <v>308</v>
      </c>
      <c r="D260" s="1266" t="s">
        <v>1213</v>
      </c>
      <c r="E260" s="1266"/>
      <c r="F260" s="1266"/>
    </row>
    <row r="261" spans="1:7" ht="14.4">
      <c r="A261" s="176"/>
      <c r="B261" s="176"/>
      <c r="D261" s="1266"/>
      <c r="E261" s="1266"/>
      <c r="F261" s="1266"/>
    </row>
    <row r="262" spans="1:7">
      <c r="A262" s="13"/>
      <c r="B262" s="13"/>
      <c r="E262" s="35"/>
      <c r="F262" s="35"/>
    </row>
    <row r="263" spans="1:7">
      <c r="A263" s="1287" t="s">
        <v>1077</v>
      </c>
      <c r="B263" s="1287"/>
      <c r="C263" s="1287"/>
      <c r="D263" s="1287"/>
      <c r="E263" s="1287"/>
      <c r="F263" s="1287"/>
      <c r="G263" s="1287"/>
    </row>
    <row r="264" spans="1:7">
      <c r="A264" s="13"/>
      <c r="B264" s="13"/>
      <c r="D264" s="35"/>
      <c r="E264" s="35"/>
      <c r="F264" s="35"/>
    </row>
    <row r="265" spans="1:7">
      <c r="C265" s="13"/>
      <c r="D265" s="1285" t="s">
        <v>690</v>
      </c>
      <c r="E265" s="1285"/>
      <c r="F265" s="1285"/>
    </row>
    <row r="266" spans="1:7">
      <c r="C266" s="13"/>
      <c r="D266" s="1286" t="s">
        <v>1214</v>
      </c>
      <c r="E266" s="1286"/>
      <c r="F266" s="1286"/>
    </row>
    <row r="267" spans="1:7">
      <c r="C267" s="13"/>
      <c r="D267" s="173"/>
    </row>
    <row r="268" spans="1:7">
      <c r="B268" s="468" t="s">
        <v>308</v>
      </c>
      <c r="D268" s="1286" t="s">
        <v>1215</v>
      </c>
      <c r="E268" s="1286"/>
      <c r="F268" s="1286"/>
    </row>
    <row r="269" spans="1:7" ht="14.4">
      <c r="A269" s="176"/>
      <c r="B269" s="176"/>
      <c r="D269" s="341"/>
      <c r="E269" s="342"/>
      <c r="F269" s="342"/>
    </row>
    <row r="270" spans="1:7" ht="13.2" customHeight="1">
      <c r="B270" s="468" t="s">
        <v>308</v>
      </c>
      <c r="D270" s="1316" t="s">
        <v>1216</v>
      </c>
      <c r="E270" s="1316"/>
      <c r="F270" s="1316"/>
    </row>
    <row r="271" spans="1:7" ht="14.4">
      <c r="A271" s="176"/>
      <c r="B271" s="176"/>
      <c r="D271" s="1316"/>
      <c r="E271" s="1316"/>
      <c r="F271" s="1316"/>
    </row>
    <row r="272" spans="1:7" ht="14.4">
      <c r="A272" s="176"/>
      <c r="B272" s="176"/>
      <c r="D272" s="1316"/>
      <c r="E272" s="1316"/>
      <c r="F272" s="1316"/>
    </row>
    <row r="273" spans="1:6" ht="14.4">
      <c r="A273" s="176"/>
      <c r="B273" s="176"/>
      <c r="D273" s="1316"/>
      <c r="E273" s="1316"/>
      <c r="F273" s="1316"/>
    </row>
    <row r="274" spans="1:6" ht="14.4">
      <c r="A274" s="176"/>
      <c r="B274" s="176"/>
      <c r="D274" s="1316"/>
      <c r="E274" s="1316"/>
      <c r="F274" s="1316"/>
    </row>
    <row r="275" spans="1:6" ht="14.4">
      <c r="A275" s="176"/>
      <c r="B275" s="176"/>
      <c r="D275" s="341"/>
      <c r="E275" s="342"/>
      <c r="F275" s="342"/>
    </row>
    <row r="276" spans="1:6" ht="13.2" customHeight="1">
      <c r="B276" s="468" t="s">
        <v>308</v>
      </c>
      <c r="D276" s="1316" t="s">
        <v>1217</v>
      </c>
      <c r="E276" s="1316"/>
      <c r="F276" s="1316"/>
    </row>
    <row r="277" spans="1:6">
      <c r="D277" s="1316"/>
      <c r="E277" s="1316"/>
      <c r="F277" s="1316"/>
    </row>
    <row r="278" spans="1:6" ht="14.4">
      <c r="A278" s="176"/>
      <c r="B278" s="176"/>
      <c r="D278" s="341"/>
      <c r="E278" s="342"/>
      <c r="F278" s="342"/>
    </row>
    <row r="279" spans="1:6">
      <c r="B279" s="468" t="s">
        <v>308</v>
      </c>
      <c r="D279" s="1286" t="s">
        <v>1218</v>
      </c>
      <c r="E279" s="1286"/>
      <c r="F279" s="1286"/>
    </row>
    <row r="280" spans="1:6">
      <c r="E280" s="35"/>
      <c r="F280" s="35"/>
    </row>
    <row r="281" spans="1:6" ht="14.4">
      <c r="A281" s="176"/>
      <c r="B281" s="468" t="s">
        <v>308</v>
      </c>
      <c r="D281" s="1266" t="s">
        <v>1219</v>
      </c>
      <c r="E281" s="1266"/>
      <c r="F281" s="1266"/>
    </row>
    <row r="282" spans="1:6" ht="14.4">
      <c r="A282" s="176"/>
      <c r="B282" s="176"/>
      <c r="D282" s="1266"/>
      <c r="E282" s="1266"/>
      <c r="F282" s="1266"/>
    </row>
    <row r="283" spans="1:6" ht="14.4">
      <c r="A283" s="176"/>
      <c r="B283" s="176"/>
      <c r="D283" s="1266"/>
      <c r="E283" s="1266"/>
      <c r="F283" s="1266"/>
    </row>
    <row r="284" spans="1:6" ht="14.4">
      <c r="A284" s="176"/>
      <c r="B284" s="176"/>
      <c r="D284" s="1266"/>
      <c r="E284" s="1266"/>
      <c r="F284" s="1266"/>
    </row>
    <row r="285" spans="1:6" ht="14.4">
      <c r="A285" s="176"/>
      <c r="B285" s="176"/>
      <c r="D285" s="1266"/>
      <c r="E285" s="1266"/>
      <c r="F285" s="1266"/>
    </row>
    <row r="286" spans="1:6" ht="14.4">
      <c r="A286" s="176"/>
      <c r="B286" s="176"/>
      <c r="D286" s="1266"/>
      <c r="E286" s="1266"/>
      <c r="F286" s="1266"/>
    </row>
    <row r="287" spans="1:6" ht="14.4">
      <c r="A287" s="176"/>
      <c r="B287" s="176"/>
      <c r="D287" s="1266"/>
      <c r="E287" s="1266"/>
      <c r="F287" s="1266"/>
    </row>
    <row r="288" spans="1:6" ht="14.4">
      <c r="A288" s="176"/>
      <c r="B288" s="176"/>
      <c r="D288" s="1266"/>
      <c r="E288" s="1266"/>
      <c r="F288" s="1266"/>
    </row>
    <row r="289" spans="1:6" ht="14.4">
      <c r="A289" s="176"/>
      <c r="B289" s="176"/>
      <c r="D289" s="1266"/>
      <c r="E289" s="1266"/>
      <c r="F289" s="1266"/>
    </row>
    <row r="290" spans="1:6" ht="14.4">
      <c r="A290" s="176"/>
      <c r="B290" s="176"/>
      <c r="D290" s="1266"/>
      <c r="E290" s="1266"/>
      <c r="F290" s="1266"/>
    </row>
    <row r="291" spans="1:6" ht="14.4">
      <c r="A291" s="176"/>
      <c r="B291" s="176"/>
      <c r="D291" s="1266"/>
      <c r="E291" s="1266"/>
      <c r="F291" s="1266"/>
    </row>
    <row r="292" spans="1:6" ht="14.4">
      <c r="A292" s="176"/>
      <c r="B292" s="176"/>
      <c r="D292" s="1266"/>
      <c r="E292" s="1266"/>
      <c r="F292" s="1266"/>
    </row>
    <row r="293" spans="1:6" ht="14.4">
      <c r="A293" s="176"/>
      <c r="B293" s="176"/>
      <c r="D293" s="1266"/>
      <c r="E293" s="1266"/>
      <c r="F293" s="1266"/>
    </row>
    <row r="294" spans="1:6" ht="14.4">
      <c r="A294" s="176"/>
      <c r="B294" s="176"/>
      <c r="D294" s="1266"/>
      <c r="E294" s="1266"/>
      <c r="F294" s="1266"/>
    </row>
    <row r="295" spans="1:6" ht="14.4">
      <c r="A295" s="176"/>
      <c r="B295" s="176"/>
      <c r="D295" s="1266"/>
      <c r="E295" s="1266"/>
      <c r="F295" s="1266"/>
    </row>
    <row r="296" spans="1:6">
      <c r="D296" s="35"/>
      <c r="E296" s="35"/>
      <c r="F296" s="35"/>
    </row>
    <row r="297" spans="1:6" ht="14.4">
      <c r="A297" s="176"/>
      <c r="B297" s="468" t="s">
        <v>308</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4">
      <c r="A307" s="176"/>
      <c r="B307" s="468" t="s">
        <v>308</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8" thickBot="1">
      <c r="D314" s="1312" t="s">
        <v>998</v>
      </c>
      <c r="E314" s="1312"/>
      <c r="F314" s="1312"/>
      <c r="G314"/>
    </row>
    <row r="315" spans="1:7" ht="13.8" thickTop="1">
      <c r="D315" s="1313" t="s">
        <v>1222</v>
      </c>
      <c r="E315" s="1313"/>
      <c r="F315" s="1313"/>
      <c r="G315"/>
    </row>
    <row r="316" spans="1:7">
      <c r="A316" s="218"/>
      <c r="B316" s="218"/>
      <c r="C316" s="218"/>
      <c r="D316" s="220"/>
      <c r="E316" s="220"/>
      <c r="F316" s="35"/>
      <c r="G316"/>
    </row>
    <row r="317" spans="1:7" ht="14.4">
      <c r="A317" s="176"/>
      <c r="B317" s="468" t="s">
        <v>308</v>
      </c>
      <c r="C317" s="218"/>
      <c r="D317" s="1314" t="s">
        <v>1223</v>
      </c>
      <c r="E317" s="1314"/>
      <c r="F317" s="1314"/>
      <c r="G317"/>
    </row>
    <row r="318" spans="1:7">
      <c r="A318" s="218"/>
      <c r="B318" s="218"/>
      <c r="C318" s="218"/>
      <c r="D318" s="220"/>
      <c r="E318" s="220"/>
      <c r="F318" s="35"/>
      <c r="G318"/>
    </row>
    <row r="319" spans="1:7">
      <c r="A319" s="218"/>
      <c r="B319" s="468" t="s">
        <v>308</v>
      </c>
      <c r="C319" s="218"/>
      <c r="D319" s="1269" t="s">
        <v>1224</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4">
      <c r="A331" s="176"/>
      <c r="B331" s="468" t="s">
        <v>308</v>
      </c>
      <c r="C331" s="218"/>
      <c r="D331" s="1269" t="s">
        <v>1225</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1226</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2" customHeight="1">
      <c r="A345" s="218"/>
      <c r="B345" s="218"/>
      <c r="C345" s="218"/>
      <c r="D345" s="1269" t="s">
        <v>1227</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1228</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4">
      <c r="A367" s="176"/>
      <c r="B367" s="468" t="s">
        <v>308</v>
      </c>
      <c r="C367" s="218"/>
      <c r="D367" s="1269" t="s">
        <v>1229</v>
      </c>
      <c r="E367" s="1269"/>
      <c r="F367" s="1269"/>
      <c r="G367"/>
    </row>
    <row r="368" spans="1:7" ht="14.4">
      <c r="A368" s="346"/>
      <c r="B368" s="346"/>
      <c r="C368" s="218"/>
      <c r="D368" s="1269"/>
      <c r="E368" s="1269"/>
      <c r="F368" s="1269"/>
      <c r="G368"/>
    </row>
    <row r="369" spans="1:7" ht="14.4">
      <c r="A369" s="346"/>
      <c r="B369" s="346"/>
      <c r="C369" s="218"/>
      <c r="D369" s="1269"/>
      <c r="E369" s="1269"/>
      <c r="F369" s="1269"/>
      <c r="G369"/>
    </row>
    <row r="370" spans="1:7" ht="14.4">
      <c r="A370" s="346"/>
      <c r="B370" s="346"/>
      <c r="C370" s="218"/>
      <c r="D370" s="1269"/>
      <c r="E370" s="1269"/>
      <c r="F370" s="1269"/>
      <c r="G370"/>
    </row>
    <row r="371" spans="1:7" ht="14.4">
      <c r="A371" s="346"/>
      <c r="B371" s="346"/>
      <c r="C371" s="218"/>
      <c r="D371" s="1269"/>
      <c r="E371" s="1269"/>
      <c r="F371" s="1269"/>
      <c r="G371"/>
    </row>
    <row r="372" spans="1:7">
      <c r="D372" s="35"/>
      <c r="E372" s="35"/>
      <c r="F372" s="35"/>
      <c r="G372"/>
    </row>
    <row r="373" spans="1:7" ht="14.4">
      <c r="A373" s="176"/>
      <c r="B373" s="468" t="s">
        <v>308</v>
      </c>
      <c r="C373" s="179"/>
      <c r="D373" s="1266" t="s">
        <v>1230</v>
      </c>
      <c r="E373" s="1266"/>
      <c r="F373" s="1266"/>
      <c r="G373"/>
    </row>
    <row r="374" spans="1:7" ht="14.4">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65" customHeight="1">
      <c r="D403" s="1266"/>
      <c r="E403" s="1266"/>
      <c r="F403" s="1266"/>
    </row>
    <row r="404" spans="1:7">
      <c r="D404" s="35"/>
      <c r="E404" s="35"/>
      <c r="F404" s="35"/>
    </row>
    <row r="405" spans="1:7" ht="14.4">
      <c r="A405" s="176"/>
      <c r="B405" s="468" t="s">
        <v>308</v>
      </c>
      <c r="C405" s="179"/>
      <c r="D405" s="1286" t="s">
        <v>1231</v>
      </c>
      <c r="E405" s="1286"/>
      <c r="F405" s="1286"/>
    </row>
    <row r="406" spans="1:7">
      <c r="D406" s="1311" t="s">
        <v>1006</v>
      </c>
      <c r="E406" s="1311"/>
      <c r="F406" s="1311"/>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4">
      <c r="A412" s="176"/>
      <c r="B412" s="468" t="s">
        <v>308</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ht="14.4">
      <c r="B416" s="468" t="s">
        <v>308</v>
      </c>
      <c r="C416" s="176"/>
      <c r="D416" s="1266" t="s">
        <v>1234</v>
      </c>
      <c r="E416" s="1266"/>
      <c r="F416" s="1266"/>
      <c r="G416"/>
    </row>
    <row r="417" spans="1:7">
      <c r="D417" s="1266"/>
      <c r="E417" s="1266"/>
      <c r="F417" s="1266"/>
      <c r="G417"/>
    </row>
    <row r="418" spans="1:7">
      <c r="D418" s="35"/>
      <c r="E418" s="35"/>
      <c r="F418" s="35"/>
      <c r="G418"/>
    </row>
    <row r="419" spans="1:7" ht="14.4">
      <c r="B419" s="468" t="s">
        <v>308</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1237</v>
      </c>
      <c r="E440" s="1286"/>
      <c r="F440" s="1286"/>
    </row>
    <row r="441" spans="1:7">
      <c r="A441" s="35"/>
      <c r="B441" s="35"/>
    </row>
    <row r="442" spans="1:7">
      <c r="A442" s="1287" t="s">
        <v>1078</v>
      </c>
      <c r="B442" s="1287"/>
      <c r="C442" s="1287"/>
      <c r="D442" s="1287"/>
      <c r="E442" s="1287"/>
      <c r="F442" s="1287"/>
      <c r="G442" s="1287"/>
    </row>
    <row r="443" spans="1:7">
      <c r="A443" s="35"/>
      <c r="B443" s="35"/>
    </row>
    <row r="444" spans="1:7">
      <c r="D444" s="1317" t="s">
        <v>895</v>
      </c>
      <c r="E444" s="1317"/>
      <c r="F444" s="1317"/>
    </row>
    <row r="445" spans="1:7" ht="14.4">
      <c r="A445" s="176"/>
      <c r="B445" s="176"/>
      <c r="D445" s="1314" t="s">
        <v>1238</v>
      </c>
      <c r="E445" s="1314"/>
      <c r="F445" s="1314"/>
    </row>
    <row r="446" spans="1:7" ht="14.4">
      <c r="A446" s="176"/>
      <c r="B446" s="176"/>
      <c r="D446" s="481"/>
      <c r="E446" s="3"/>
      <c r="F446" s="3"/>
    </row>
    <row r="447" spans="1:7" ht="14.4">
      <c r="A447" s="176"/>
      <c r="B447" s="468" t="s">
        <v>308</v>
      </c>
      <c r="D447" s="1269" t="s">
        <v>1239</v>
      </c>
      <c r="E447" s="1269"/>
      <c r="F447" s="1269"/>
    </row>
    <row r="448" spans="1:7" ht="14.4">
      <c r="A448" s="176"/>
      <c r="B448" s="176"/>
      <c r="D448" s="1269"/>
      <c r="E448" s="1269"/>
      <c r="F448" s="1269"/>
    </row>
    <row r="449" spans="1:7" ht="14.4">
      <c r="A449" s="176"/>
      <c r="B449" s="176"/>
      <c r="D449" s="118"/>
      <c r="E449" s="3"/>
      <c r="F449" s="3"/>
    </row>
    <row r="450" spans="1:7">
      <c r="B450" s="468" t="s">
        <v>308</v>
      </c>
      <c r="D450" s="1303" t="s">
        <v>1240</v>
      </c>
      <c r="E450" s="1303"/>
      <c r="F450" s="1303"/>
    </row>
    <row r="451" spans="1:7" ht="14.4">
      <c r="A451" s="176"/>
      <c r="D451" s="1303"/>
      <c r="E451" s="1303"/>
      <c r="F451" s="1303"/>
    </row>
    <row r="452" spans="1:7" ht="14.4">
      <c r="A452" s="176"/>
      <c r="B452" s="176"/>
      <c r="D452" s="1303"/>
      <c r="E452" s="1303"/>
      <c r="F452" s="1303"/>
    </row>
    <row r="453" spans="1:7" ht="14.4">
      <c r="A453" s="176"/>
      <c r="B453" s="176"/>
      <c r="D453" s="1303"/>
      <c r="E453" s="1303"/>
      <c r="F453" s="1303"/>
    </row>
    <row r="454" spans="1:7">
      <c r="D454" s="3"/>
      <c r="E454" s="3"/>
      <c r="F454" s="3"/>
      <c r="G454"/>
    </row>
    <row r="455" spans="1:7" ht="14.4">
      <c r="A455" s="176"/>
      <c r="B455" s="468" t="s">
        <v>308</v>
      </c>
      <c r="D455" s="1266" t="s">
        <v>1241</v>
      </c>
      <c r="E455" s="1266"/>
      <c r="F455" s="1266"/>
      <c r="G455"/>
    </row>
    <row r="456" spans="1:7" ht="14.4">
      <c r="A456" s="176"/>
      <c r="B456" s="176"/>
      <c r="D456" s="1266"/>
      <c r="E456" s="1266"/>
      <c r="F456" s="1266"/>
      <c r="G456"/>
    </row>
    <row r="457" spans="1:7" ht="14.4">
      <c r="A457" s="176"/>
      <c r="D457" s="1266"/>
      <c r="E457" s="1266"/>
      <c r="F457" s="1266"/>
      <c r="G457"/>
    </row>
    <row r="458" spans="1:7" ht="14.4">
      <c r="A458" s="176"/>
      <c r="B458" s="176"/>
      <c r="D458" s="3"/>
      <c r="E458" s="3"/>
      <c r="F458" s="3"/>
      <c r="G458"/>
    </row>
    <row r="459" spans="1:7" ht="14.4">
      <c r="A459" s="176"/>
      <c r="B459" s="468" t="s">
        <v>308</v>
      </c>
      <c r="D459" s="1286" t="s">
        <v>1242</v>
      </c>
      <c r="E459" s="1286"/>
      <c r="F459" s="1286"/>
      <c r="G459"/>
    </row>
    <row r="460" spans="1:7" ht="14.4">
      <c r="A460" s="176"/>
      <c r="B460" s="176"/>
      <c r="D460" s="118"/>
      <c r="E460" s="3"/>
      <c r="F460" s="3"/>
      <c r="G460"/>
    </row>
    <row r="461" spans="1:7" ht="14.4">
      <c r="A461" s="176"/>
      <c r="B461" s="468" t="s">
        <v>308</v>
      </c>
      <c r="D461" s="1266" t="s">
        <v>1243</v>
      </c>
      <c r="E461" s="1266"/>
      <c r="F461" s="1266"/>
      <c r="G461"/>
    </row>
    <row r="462" spans="1:7" ht="14.4">
      <c r="A462" s="176"/>
      <c r="D462" s="1266"/>
      <c r="E462" s="1266"/>
      <c r="F462" s="1266"/>
      <c r="G462"/>
    </row>
    <row r="463" spans="1:7">
      <c r="A463" s="13"/>
      <c r="B463" s="13"/>
      <c r="D463" s="481"/>
      <c r="E463" s="3"/>
      <c r="F463" s="3"/>
      <c r="G463"/>
    </row>
    <row r="464" spans="1:7">
      <c r="A464" s="13"/>
      <c r="B464" s="468" t="s">
        <v>308</v>
      </c>
      <c r="D464" s="1286" t="s">
        <v>1244</v>
      </c>
      <c r="E464" s="1286"/>
      <c r="F464" s="1286"/>
      <c r="G464"/>
    </row>
    <row r="465" spans="1:7" ht="14.4">
      <c r="A465" s="176"/>
      <c r="B465" s="176"/>
      <c r="D465" s="35"/>
    </row>
    <row r="466" spans="1:7">
      <c r="A466" s="1287" t="s">
        <v>1079</v>
      </c>
      <c r="B466" s="1287"/>
      <c r="C466" s="1287"/>
      <c r="D466" s="1287"/>
      <c r="E466" s="1287"/>
      <c r="F466" s="1287"/>
      <c r="G466" s="1287"/>
    </row>
    <row r="467" spans="1:7" ht="12" customHeight="1">
      <c r="A467" s="176"/>
      <c r="B467" s="176"/>
      <c r="D467" s="35"/>
    </row>
    <row r="468" spans="1:7">
      <c r="C468" s="172"/>
      <c r="D468" s="1285" t="s">
        <v>802</v>
      </c>
      <c r="E468" s="1285"/>
      <c r="F468" s="1285"/>
    </row>
    <row r="469" spans="1:7" ht="13.2" customHeight="1">
      <c r="A469" s="175"/>
      <c r="B469" s="175"/>
      <c r="C469" s="175"/>
      <c r="D469" s="1318" t="s">
        <v>1122</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 customHeight="1">
      <c r="A475" s="176"/>
      <c r="B475" s="468" t="s">
        <v>308</v>
      </c>
      <c r="C475" s="175"/>
      <c r="D475" s="1302" t="s">
        <v>1113</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 customHeight="1">
      <c r="A481" s="176"/>
      <c r="B481" s="468" t="s">
        <v>308</v>
      </c>
      <c r="C481" s="175"/>
      <c r="D481" s="1302" t="s">
        <v>1116</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 customHeight="1">
      <c r="A485" s="175"/>
      <c r="B485" s="175"/>
      <c r="C485" s="175"/>
      <c r="D485" s="220"/>
      <c r="F485" s="35"/>
    </row>
    <row r="486" spans="1:6" ht="14.4" customHeight="1">
      <c r="A486" s="176"/>
      <c r="B486" s="468" t="s">
        <v>308</v>
      </c>
      <c r="C486" s="175"/>
      <c r="D486" s="1302" t="s">
        <v>1114</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 customHeight="1">
      <c r="A490" s="176"/>
      <c r="B490" s="468" t="s">
        <v>308</v>
      </c>
      <c r="C490" s="175"/>
      <c r="D490" s="1302" t="s">
        <v>1115</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2" customHeight="1">
      <c r="A500" s="175"/>
      <c r="B500" s="468" t="s">
        <v>308</v>
      </c>
      <c r="C500" s="175"/>
      <c r="D500" s="1269" t="s">
        <v>1259</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 customHeight="1">
      <c r="A506" s="176"/>
      <c r="B506" s="468" t="s">
        <v>308</v>
      </c>
      <c r="D506" s="1302" t="s">
        <v>1117</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1080</v>
      </c>
      <c r="B510" s="1287"/>
      <c r="C510" s="1287"/>
      <c r="D510" s="1287"/>
      <c r="E510" s="1287"/>
      <c r="F510" s="1287"/>
      <c r="G510" s="1287"/>
    </row>
    <row r="511" spans="1:7">
      <c r="A511" s="35"/>
      <c r="B511" s="35"/>
      <c r="C511" s="179"/>
      <c r="F511" s="57"/>
    </row>
    <row r="512" spans="1:7">
      <c r="B512" s="1284" t="s">
        <v>448</v>
      </c>
      <c r="C512" s="1284"/>
      <c r="D512" s="1284"/>
      <c r="E512" s="1284"/>
      <c r="F512" s="1284"/>
    </row>
    <row r="513" spans="1:7">
      <c r="A513" s="35"/>
      <c r="B513" s="35"/>
      <c r="C513" s="179"/>
      <c r="D513" s="35"/>
      <c r="F513" s="35"/>
    </row>
    <row r="514" spans="1:7">
      <c r="A514" s="1288" t="s">
        <v>1081</v>
      </c>
      <c r="B514" s="1288"/>
      <c r="C514" s="1288"/>
      <c r="D514" s="1288"/>
      <c r="E514" s="1288"/>
      <c r="F514" s="1288"/>
      <c r="G514" s="1288"/>
    </row>
    <row r="515" spans="1:7">
      <c r="A515" s="35"/>
      <c r="B515" s="35"/>
      <c r="C515" s="179"/>
      <c r="D515" s="35"/>
      <c r="F515" s="35"/>
    </row>
    <row r="516" spans="1:7">
      <c r="C516" s="179"/>
      <c r="D516" s="1285" t="s">
        <v>691</v>
      </c>
      <c r="E516" s="1285"/>
      <c r="F516" s="1285"/>
    </row>
    <row r="517" spans="1:7">
      <c r="C517" s="179"/>
      <c r="D517" s="1286" t="s">
        <v>1138</v>
      </c>
      <c r="E517" s="1286"/>
      <c r="F517" s="1286"/>
    </row>
    <row r="518" spans="1:7">
      <c r="C518" s="179"/>
      <c r="D518" s="118"/>
      <c r="E518" s="118"/>
      <c r="F518" s="118"/>
    </row>
    <row r="519" spans="1:7" ht="13.2" customHeight="1">
      <c r="A519" s="176"/>
      <c r="B519" s="468" t="s">
        <v>308</v>
      </c>
      <c r="C519" s="179"/>
      <c r="D519" s="1286" t="s">
        <v>896</v>
      </c>
      <c r="E519" s="1286"/>
      <c r="F519" s="1286"/>
      <c r="G519"/>
    </row>
    <row r="520" spans="1:7" ht="13.2" customHeight="1">
      <c r="A520" s="179"/>
      <c r="B520" s="179"/>
      <c r="C520" s="179"/>
      <c r="D520" s="118"/>
      <c r="E520"/>
      <c r="F520"/>
      <c r="G520"/>
    </row>
    <row r="521" spans="1:7" ht="14.4">
      <c r="A521" s="176"/>
      <c r="B521" s="468" t="s">
        <v>308</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4.4">
      <c r="A524" s="176"/>
      <c r="B524" s="468" t="s">
        <v>308</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4.4">
      <c r="A527" s="176"/>
      <c r="B527" s="468" t="s">
        <v>308</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4.4">
      <c r="A530" s="176"/>
      <c r="B530" s="468" t="s">
        <v>308</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4">
      <c r="A534" s="176"/>
      <c r="B534" s="468" t="s">
        <v>308</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4.4">
      <c r="A537" s="176"/>
      <c r="B537" s="468" t="s">
        <v>308</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4.4">
      <c r="A540" s="176"/>
      <c r="B540" s="468" t="s">
        <v>308</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4.4">
      <c r="A543" s="176"/>
      <c r="B543" s="468" t="s">
        <v>308</v>
      </c>
      <c r="C543" s="179"/>
      <c r="D543" s="1286" t="s">
        <v>1145</v>
      </c>
      <c r="E543" s="1286"/>
      <c r="F543" s="1286"/>
    </row>
    <row r="544" spans="1:7">
      <c r="A544" s="13"/>
      <c r="B544" s="13"/>
      <c r="C544" s="179"/>
      <c r="D544" s="1286" t="s">
        <v>829</v>
      </c>
      <c r="E544" s="1286"/>
      <c r="F544" s="1286"/>
    </row>
    <row r="545" spans="1:7">
      <c r="A545" s="13"/>
      <c r="B545" s="13"/>
      <c r="C545" s="179"/>
      <c r="D545" s="3"/>
      <c r="E545" s="1291" t="s">
        <v>1146</v>
      </c>
      <c r="F545" s="1291"/>
    </row>
    <row r="546" spans="1:7" ht="14.4">
      <c r="A546" s="176"/>
      <c r="B546" s="176"/>
      <c r="C546" s="179"/>
      <c r="E546" s="35"/>
      <c r="F546" s="35"/>
    </row>
    <row r="547" spans="1:7" ht="14.4">
      <c r="A547" s="176"/>
      <c r="B547" s="468" t="s">
        <v>308</v>
      </c>
      <c r="C547" s="179"/>
      <c r="D547" s="1286" t="s">
        <v>1147</v>
      </c>
      <c r="E547" s="1286"/>
      <c r="F547" s="1286"/>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4">
      <c r="A552" s="176"/>
      <c r="B552" s="468" t="s">
        <v>308</v>
      </c>
      <c r="C552" s="179"/>
      <c r="D552" s="1266" t="s">
        <v>1149</v>
      </c>
      <c r="E552" s="1266"/>
      <c r="F552" s="1266"/>
    </row>
    <row r="553" spans="1:7" ht="14.4">
      <c r="A553" s="176"/>
      <c r="B553" s="176"/>
      <c r="C553" s="179"/>
      <c r="D553" s="1266"/>
      <c r="E553" s="1266"/>
      <c r="F553" s="1266"/>
    </row>
    <row r="554" spans="1:7" ht="14.4">
      <c r="A554" s="176"/>
      <c r="B554" s="176"/>
      <c r="C554" s="179"/>
      <c r="D554" s="1266"/>
      <c r="E554" s="1266"/>
      <c r="F554" s="1266"/>
    </row>
    <row r="555" spans="1:7" ht="14.4">
      <c r="A555" s="176"/>
      <c r="B555" s="176"/>
      <c r="C555" s="179"/>
      <c r="D555" s="1266"/>
      <c r="E555" s="1266"/>
      <c r="F555" s="1266"/>
    </row>
    <row r="556" spans="1:7" ht="14.4">
      <c r="A556" s="176"/>
      <c r="B556" s="176"/>
      <c r="C556" s="179"/>
      <c r="D556" s="35"/>
      <c r="E556" s="35"/>
      <c r="F556" s="35"/>
    </row>
    <row r="557" spans="1:7">
      <c r="A557" s="1287" t="s">
        <v>1082</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1098</v>
      </c>
      <c r="E560" s="1303"/>
      <c r="F560" s="1303"/>
    </row>
    <row r="561" spans="1:6">
      <c r="A561"/>
      <c r="B561"/>
      <c r="C561" s="175"/>
      <c r="D561" s="255"/>
    </row>
    <row r="562" spans="1:6">
      <c r="A562" s="175"/>
      <c r="B562" s="468" t="s">
        <v>308</v>
      </c>
      <c r="D562" s="1303" t="s">
        <v>902</v>
      </c>
      <c r="E562" s="1303"/>
      <c r="F562" s="1303"/>
    </row>
    <row r="563" spans="1:6">
      <c r="A563" s="13"/>
      <c r="B563" s="13"/>
      <c r="D563" s="218"/>
    </row>
    <row r="564" spans="1:6">
      <c r="A564" s="13"/>
      <c r="B564" s="468" t="s">
        <v>308</v>
      </c>
      <c r="D564" s="1303" t="s">
        <v>1099</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1100</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1101</v>
      </c>
      <c r="E573" s="1303"/>
      <c r="F573" s="1303"/>
    </row>
    <row r="574" spans="1:6">
      <c r="A574" s="13"/>
      <c r="B574" s="13"/>
      <c r="D574" s="1303"/>
      <c r="E574" s="1303"/>
      <c r="F574" s="1303"/>
    </row>
    <row r="575" spans="1:6">
      <c r="A575" s="13"/>
      <c r="B575" s="13"/>
      <c r="D575" s="255"/>
    </row>
    <row r="576" spans="1:6">
      <c r="A576" s="13"/>
      <c r="B576" s="468" t="s">
        <v>308</v>
      </c>
      <c r="D576" s="1303" t="s">
        <v>1102</v>
      </c>
      <c r="E576" s="1303"/>
      <c r="F576" s="1303"/>
    </row>
    <row r="577" spans="1:7">
      <c r="A577" s="13"/>
      <c r="B577" s="13"/>
      <c r="D577" s="1303"/>
      <c r="E577" s="1303"/>
      <c r="F577" s="1303"/>
    </row>
    <row r="578" spans="1:7">
      <c r="A578" s="13"/>
      <c r="B578" s="13"/>
      <c r="D578" s="255"/>
    </row>
    <row r="579" spans="1:7" ht="14.4">
      <c r="A579" s="176"/>
      <c r="B579" s="468" t="s">
        <v>308</v>
      </c>
      <c r="D579" s="1303" t="s">
        <v>897</v>
      </c>
      <c r="E579" s="1303"/>
      <c r="F579" s="1303"/>
    </row>
    <row r="580" spans="1:7" ht="14.4">
      <c r="A580" s="176"/>
      <c r="B580" s="176"/>
      <c r="D580" s="255"/>
    </row>
    <row r="581" spans="1:7" ht="14.4">
      <c r="A581" s="176"/>
      <c r="B581" s="468" t="s">
        <v>308</v>
      </c>
      <c r="D581" s="1303" t="s">
        <v>1103</v>
      </c>
      <c r="E581" s="1303"/>
      <c r="F581" s="1303"/>
    </row>
    <row r="582" spans="1:7" ht="14.4">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1083</v>
      </c>
      <c r="B588" s="1287"/>
      <c r="C588" s="1287"/>
      <c r="D588" s="1287"/>
      <c r="E588" s="1287"/>
      <c r="F588" s="1287"/>
      <c r="G588" s="1287"/>
    </row>
    <row r="589" spans="1:7"/>
    <row r="590" spans="1:7">
      <c r="D590" s="1279" t="s">
        <v>1183</v>
      </c>
      <c r="E590" s="1279"/>
      <c r="F590" s="1279"/>
    </row>
    <row r="591" spans="1:7">
      <c r="D591" s="1280" t="s">
        <v>1184</v>
      </c>
      <c r="E591" s="1280"/>
      <c r="F591" s="1280"/>
    </row>
    <row r="592" spans="1:7">
      <c r="D592" s="478"/>
      <c r="E592" s="433"/>
      <c r="F592" s="433"/>
    </row>
    <row r="593" spans="1:7" ht="14.4">
      <c r="A593" s="176"/>
      <c r="B593" s="468" t="s">
        <v>308</v>
      </c>
      <c r="D593" s="1281" t="s">
        <v>1185</v>
      </c>
      <c r="E593" s="1281"/>
      <c r="F593" s="1281"/>
    </row>
    <row r="594" spans="1:7">
      <c r="D594" s="1281"/>
      <c r="E594" s="1281"/>
      <c r="F594" s="1281"/>
    </row>
    <row r="595" spans="1:7">
      <c r="D595" s="1281"/>
      <c r="E595" s="1281"/>
      <c r="F595" s="1281"/>
    </row>
    <row r="596" spans="1:7"/>
    <row r="597" spans="1:7">
      <c r="A597" s="1287" t="s">
        <v>1084</v>
      </c>
      <c r="B597" s="1287"/>
      <c r="C597" s="1287"/>
      <c r="D597" s="1287"/>
      <c r="E597" s="1287"/>
      <c r="F597" s="1287"/>
      <c r="G597" s="1287"/>
    </row>
    <row r="598" spans="1:7">
      <c r="A598" s="35"/>
      <c r="B598" s="35"/>
    </row>
    <row r="599" spans="1:7">
      <c r="A599" s="172"/>
      <c r="B599" s="172"/>
      <c r="C599" s="172"/>
      <c r="D599" s="1282" t="s">
        <v>1186</v>
      </c>
      <c r="E599" s="1282"/>
      <c r="F599" s="1282"/>
    </row>
    <row r="600" spans="1:7">
      <c r="A600" s="172"/>
      <c r="B600" s="172"/>
      <c r="C600" s="172"/>
      <c r="D600" s="1282"/>
      <c r="E600" s="1282"/>
      <c r="F600" s="1282"/>
    </row>
    <row r="601" spans="1:7">
      <c r="C601" s="175"/>
      <c r="D601" s="1280" t="s">
        <v>1187</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1188</v>
      </c>
      <c r="E605" s="1283"/>
      <c r="F605" s="1283"/>
    </row>
    <row r="606" spans="1:7">
      <c r="D606" s="1283"/>
      <c r="E606" s="1283"/>
      <c r="F606" s="1283"/>
    </row>
    <row r="607" spans="1:7">
      <c r="D607"/>
    </row>
    <row r="608" spans="1:7">
      <c r="B608" s="468" t="s">
        <v>308</v>
      </c>
      <c r="D608" s="1283" t="s">
        <v>1189</v>
      </c>
      <c r="E608" s="1283"/>
      <c r="F608" s="1283"/>
    </row>
    <row r="609" spans="1:7">
      <c r="C609" s="180"/>
      <c r="D609" s="1283"/>
      <c r="E609" s="1283"/>
      <c r="F609" s="1283"/>
    </row>
    <row r="610" spans="1:7">
      <c r="C610" s="180"/>
    </row>
    <row r="611" spans="1:7">
      <c r="B611" s="468" t="s">
        <v>308</v>
      </c>
      <c r="C611" s="180"/>
      <c r="D611" s="1283" t="s">
        <v>1190</v>
      </c>
      <c r="E611" s="1283"/>
      <c r="F611" s="1283"/>
    </row>
    <row r="612" spans="1:7">
      <c r="C612" s="180"/>
      <c r="D612" s="1283"/>
      <c r="E612" s="1283"/>
      <c r="F612" s="1283"/>
    </row>
    <row r="613" spans="1:7">
      <c r="C613" s="180"/>
    </row>
    <row r="614" spans="1:7">
      <c r="A614" s="1287" t="s">
        <v>1085</v>
      </c>
      <c r="B614" s="1287"/>
      <c r="C614" s="1287"/>
      <c r="D614" s="1287"/>
      <c r="E614" s="1287"/>
      <c r="F614" s="1287"/>
      <c r="G614" s="1287"/>
    </row>
    <row r="615" spans="1:7">
      <c r="A615" s="172"/>
      <c r="B615" s="172"/>
      <c r="C615" s="172"/>
    </row>
    <row r="616" spans="1:7">
      <c r="C616" s="13"/>
      <c r="D616" s="1279" t="s">
        <v>1191</v>
      </c>
      <c r="E616" s="1279"/>
      <c r="F616" s="1279"/>
    </row>
    <row r="617" spans="1:7">
      <c r="A617" s="13"/>
      <c r="B617" s="13"/>
      <c r="D617" s="2"/>
    </row>
    <row r="618" spans="1:7" ht="14.4">
      <c r="A618" s="176"/>
      <c r="B618" s="468" t="s">
        <v>308</v>
      </c>
      <c r="D618" s="1281" t="s">
        <v>1192</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4">
      <c r="A625" s="176"/>
      <c r="B625" s="468" t="s">
        <v>308</v>
      </c>
      <c r="D625" s="1281" t="s">
        <v>1193</v>
      </c>
      <c r="E625" s="1281"/>
      <c r="F625" s="1281"/>
    </row>
    <row r="626" spans="1:7">
      <c r="A626" s="179"/>
      <c r="B626" s="179"/>
      <c r="C626" s="179"/>
      <c r="D626" s="1281"/>
      <c r="E626" s="1281"/>
      <c r="F626" s="1281"/>
    </row>
    <row r="627" spans="1:7">
      <c r="A627" s="179"/>
      <c r="B627" s="179"/>
      <c r="C627" s="179"/>
      <c r="D627" s="35"/>
      <c r="E627" s="35"/>
      <c r="F627" s="35"/>
    </row>
    <row r="628" spans="1:7" ht="14.4">
      <c r="A628" s="176"/>
      <c r="B628" s="468" t="s">
        <v>308</v>
      </c>
      <c r="C628" s="179"/>
      <c r="D628" s="1281" t="s">
        <v>1194</v>
      </c>
      <c r="E628" s="1281"/>
      <c r="F628" s="1281"/>
    </row>
    <row r="629" spans="1:7" ht="14.4">
      <c r="A629" s="176"/>
      <c r="B629" s="176"/>
      <c r="C629" s="179"/>
      <c r="D629" s="1281"/>
      <c r="E629" s="1281"/>
      <c r="F629" s="1281"/>
    </row>
    <row r="630" spans="1:7" ht="14.4">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1195</v>
      </c>
      <c r="E633" s="1310"/>
      <c r="F633" s="1310"/>
    </row>
    <row r="634" spans="1:7">
      <c r="A634" s="179"/>
      <c r="B634" s="179"/>
      <c r="C634" s="179"/>
      <c r="D634" s="480"/>
      <c r="E634" s="480"/>
      <c r="F634" s="480"/>
    </row>
    <row r="635" spans="1:7">
      <c r="A635" s="1287" t="s">
        <v>1086</v>
      </c>
      <c r="B635" s="1287"/>
      <c r="C635" s="1287"/>
      <c r="D635" s="1287"/>
      <c r="E635" s="1287"/>
      <c r="F635" s="1287"/>
      <c r="G635" s="1287"/>
    </row>
    <row r="636" spans="1:7">
      <c r="A636" s="35"/>
      <c r="B636" s="35"/>
      <c r="C636" s="179"/>
      <c r="D636" s="35"/>
      <c r="E636" s="35"/>
      <c r="F636" s="35"/>
    </row>
    <row r="637" spans="1:7">
      <c r="C637" s="172"/>
      <c r="D637" s="1285" t="s">
        <v>1245</v>
      </c>
      <c r="E637" s="1285"/>
      <c r="F637" s="1285"/>
    </row>
    <row r="638" spans="1:7">
      <c r="A638" s="175"/>
      <c r="B638" s="175"/>
      <c r="C638" s="175"/>
      <c r="D638" s="1286" t="s">
        <v>1246</v>
      </c>
      <c r="E638" s="1286"/>
      <c r="F638" s="1286"/>
    </row>
    <row r="639" spans="1:7">
      <c r="A639" s="175"/>
      <c r="B639" s="175"/>
      <c r="C639" s="175"/>
      <c r="D639" s="118"/>
      <c r="E639" s="118"/>
      <c r="F639" s="118"/>
    </row>
    <row r="640" spans="1:7" ht="14.4" customHeight="1">
      <c r="A640" s="176"/>
      <c r="B640" s="468" t="s">
        <v>308</v>
      </c>
      <c r="C640" s="179"/>
      <c r="D640" s="1266" t="s">
        <v>1247</v>
      </c>
      <c r="E640" s="1266"/>
      <c r="F640" s="1266"/>
    </row>
    <row r="641" spans="1:11" ht="14.4">
      <c r="A641" s="176"/>
      <c r="B641" s="176"/>
      <c r="C641" s="179"/>
      <c r="D641" s="1266"/>
      <c r="E641" s="1266"/>
      <c r="F641" s="1266"/>
    </row>
    <row r="642" spans="1:11" ht="14.4">
      <c r="A642" s="176"/>
      <c r="B642" s="176"/>
      <c r="C642" s="179"/>
      <c r="D642" s="1266"/>
      <c r="E642" s="1266"/>
      <c r="F642" s="1266"/>
    </row>
    <row r="643" spans="1:11" ht="14.4">
      <c r="A643" s="176"/>
      <c r="B643" s="176"/>
      <c r="C643" s="179"/>
      <c r="D643" s="1266"/>
      <c r="E643" s="1266"/>
      <c r="F643" s="1266"/>
    </row>
    <row r="644" spans="1:11" ht="14.4">
      <c r="A644" s="176"/>
      <c r="B644" s="176"/>
      <c r="C644" s="179"/>
      <c r="D644" s="1266"/>
      <c r="E644" s="1266"/>
      <c r="F644" s="1266"/>
    </row>
    <row r="645" spans="1:11" ht="14.4">
      <c r="A645" s="176"/>
      <c r="B645" s="176"/>
      <c r="C645" s="179"/>
      <c r="D645" s="474"/>
      <c r="E645" s="474"/>
      <c r="F645" s="474"/>
    </row>
    <row r="646" spans="1:11" ht="14.4">
      <c r="A646" s="176"/>
      <c r="B646" s="468" t="s">
        <v>308</v>
      </c>
      <c r="C646" s="179"/>
      <c r="D646" s="1300" t="s">
        <v>1097</v>
      </c>
      <c r="E646" s="1300"/>
      <c r="F646" s="1300"/>
    </row>
    <row r="647" spans="1:11" ht="14.4">
      <c r="A647" s="176"/>
      <c r="B647" s="176"/>
      <c r="C647" s="179"/>
      <c r="D647" s="1299" t="s">
        <v>1248</v>
      </c>
      <c r="E647" s="1299"/>
      <c r="F647" s="1299"/>
    </row>
    <row r="648" spans="1:11" ht="14.4">
      <c r="A648" s="176"/>
      <c r="B648" s="176"/>
      <c r="C648" s="179"/>
      <c r="D648" s="1299"/>
      <c r="E648" s="1299"/>
      <c r="F648" s="1299"/>
    </row>
    <row r="649" spans="1:11" ht="14.4">
      <c r="A649" s="176"/>
      <c r="B649" s="176"/>
      <c r="C649" s="179"/>
      <c r="D649" s="1299"/>
      <c r="E649" s="1299"/>
      <c r="F649" s="1299"/>
    </row>
    <row r="650" spans="1:11" ht="14.4">
      <c r="A650" s="176"/>
      <c r="B650" s="176"/>
      <c r="C650" s="179"/>
      <c r="D650" s="1299"/>
      <c r="E650" s="1299"/>
      <c r="F650" s="1299"/>
    </row>
    <row r="651" spans="1:11" ht="14.4">
      <c r="A651" s="176"/>
      <c r="B651" s="176"/>
      <c r="C651" s="179"/>
      <c r="D651" s="1299"/>
      <c r="E651" s="1299"/>
      <c r="F651" s="1299"/>
    </row>
    <row r="652" spans="1:11" ht="14.4">
      <c r="A652" s="176"/>
      <c r="B652" s="176"/>
      <c r="C652" s="179"/>
      <c r="D652" s="1301" t="s">
        <v>1249</v>
      </c>
      <c r="E652" s="1301"/>
      <c r="F652" s="1301"/>
    </row>
    <row r="653" spans="1:11">
      <c r="A653" s="179"/>
      <c r="B653" s="179"/>
      <c r="C653" s="179"/>
      <c r="D653" s="35"/>
      <c r="E653" s="35"/>
      <c r="F653" s="35"/>
    </row>
    <row r="654" spans="1:11">
      <c r="A654" s="1287" t="s">
        <v>1087</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1123</v>
      </c>
      <c r="E658" s="1286"/>
      <c r="F658" s="1286"/>
      <c r="H658" s="181"/>
      <c r="I658" s="181"/>
      <c r="J658" s="181"/>
      <c r="K658" s="181"/>
    </row>
    <row r="659" spans="1:11">
      <c r="A659" s="175"/>
      <c r="B659" s="175"/>
      <c r="C659" s="175"/>
      <c r="H659" s="181"/>
      <c r="I659" s="181"/>
      <c r="J659" s="181"/>
      <c r="K659" s="181"/>
    </row>
    <row r="660" spans="1:11" ht="14.4">
      <c r="A660" s="176"/>
      <c r="B660" s="468" t="s">
        <v>308</v>
      </c>
      <c r="C660" s="175"/>
      <c r="D660" s="1286" t="s">
        <v>898</v>
      </c>
      <c r="E660" s="1286"/>
      <c r="F660" s="1286"/>
      <c r="H660" s="181"/>
      <c r="I660" s="181"/>
      <c r="J660" s="181"/>
      <c r="K660" s="181"/>
    </row>
    <row r="661" spans="1:11">
      <c r="A661" s="175"/>
      <c r="B661" s="175"/>
      <c r="C661" s="175"/>
      <c r="D661" s="1286" t="s">
        <v>908</v>
      </c>
      <c r="E661" s="1286"/>
      <c r="F661" s="1286"/>
      <c r="H661" s="181"/>
      <c r="I661" s="181"/>
      <c r="J661" s="181"/>
      <c r="K661" s="181"/>
    </row>
    <row r="662" spans="1:11">
      <c r="A662" s="175"/>
      <c r="B662" s="175"/>
      <c r="C662" s="175"/>
      <c r="D662" s="3"/>
      <c r="E662" s="1270" t="s">
        <v>1124</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4">
      <c r="A665" s="176"/>
      <c r="B665" s="468" t="s">
        <v>308</v>
      </c>
      <c r="C665" s="175"/>
      <c r="D665" s="1266" t="s">
        <v>1125</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4">
      <c r="A669" s="176"/>
      <c r="B669" s="468" t="s">
        <v>308</v>
      </c>
      <c r="C669" s="175"/>
      <c r="D669" s="1286" t="s">
        <v>936</v>
      </c>
      <c r="E669" s="1286"/>
      <c r="F669" s="1286"/>
      <c r="H669" s="181"/>
      <c r="I669" s="181"/>
      <c r="J669" s="181"/>
      <c r="K669" s="181"/>
    </row>
    <row r="670" spans="1:11" ht="14.4">
      <c r="A670" s="176"/>
      <c r="B670" s="176"/>
      <c r="C670" s="175"/>
      <c r="D670" s="1286" t="s">
        <v>908</v>
      </c>
      <c r="E670" s="1286"/>
      <c r="F670" s="1286"/>
      <c r="H670" s="181"/>
      <c r="I670" s="181"/>
      <c r="J670" s="181"/>
      <c r="K670" s="181"/>
    </row>
    <row r="671" spans="1:11">
      <c r="A671" s="175"/>
      <c r="B671" s="175"/>
      <c r="C671" s="175"/>
      <c r="D671" s="3"/>
      <c r="E671" s="1291" t="s">
        <v>1126</v>
      </c>
      <c r="F671" s="1291"/>
      <c r="H671" s="181"/>
      <c r="I671" s="181"/>
      <c r="J671" s="181"/>
      <c r="K671" s="181"/>
    </row>
    <row r="672" spans="1:11">
      <c r="A672" s="175"/>
      <c r="B672" s="175"/>
      <c r="C672" s="175"/>
      <c r="D672" s="2"/>
      <c r="H672" s="181"/>
      <c r="I672" s="181"/>
      <c r="J672" s="181"/>
      <c r="K672" s="181"/>
    </row>
    <row r="673" spans="1:11" ht="14.4">
      <c r="A673" s="176"/>
      <c r="B673" s="468" t="s">
        <v>308</v>
      </c>
      <c r="C673" s="175"/>
      <c r="D673" s="1266" t="s">
        <v>1136</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4">
      <c r="A680" s="176"/>
      <c r="B680" s="468" t="s">
        <v>308</v>
      </c>
      <c r="C680" s="175"/>
      <c r="D680" s="1266" t="s">
        <v>1127</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4">
      <c r="A693" s="176"/>
      <c r="B693" s="468" t="s">
        <v>308</v>
      </c>
      <c r="C693" s="175"/>
      <c r="D693" s="1266" t="s">
        <v>1137</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1134</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1135</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1128</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1129</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4">
      <c r="A712" s="176"/>
      <c r="B712" s="468" t="s">
        <v>308</v>
      </c>
      <c r="C712" s="175"/>
      <c r="D712" s="1266" t="s">
        <v>1130</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4">
      <c r="A717" s="176"/>
      <c r="B717" s="468" t="s">
        <v>308</v>
      </c>
      <c r="C717" s="175"/>
      <c r="D717" s="1266" t="s">
        <v>1263</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1131</v>
      </c>
      <c r="E724" s="1293"/>
      <c r="F724" s="1293"/>
      <c r="H724" s="181"/>
      <c r="I724" s="181"/>
      <c r="J724" s="181"/>
      <c r="K724" s="181"/>
    </row>
    <row r="725" spans="1:11">
      <c r="A725" s="175"/>
      <c r="B725" s="175"/>
      <c r="C725" s="175"/>
      <c r="D725" s="369"/>
      <c r="H725" s="181"/>
      <c r="I725" s="181"/>
      <c r="J725" s="181"/>
      <c r="K725" s="181"/>
    </row>
    <row r="726" spans="1:11">
      <c r="A726" s="1288" t="s">
        <v>1088</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2" customHeight="1">
      <c r="C728" s="175"/>
      <c r="D728" s="1298" t="s">
        <v>1104</v>
      </c>
      <c r="E728" s="1298"/>
      <c r="F728" s="1298"/>
      <c r="G728" s="183"/>
      <c r="H728" s="181"/>
      <c r="I728" s="181"/>
      <c r="J728" s="181"/>
      <c r="K728" s="181"/>
    </row>
    <row r="729" spans="1:11">
      <c r="A729" s="175"/>
      <c r="B729" s="175"/>
      <c r="C729" s="175"/>
      <c r="D729" s="1290" t="s">
        <v>1105</v>
      </c>
      <c r="E729" s="1290"/>
      <c r="F729" s="1290"/>
      <c r="G729" s="183"/>
      <c r="H729" s="181"/>
      <c r="I729" s="181"/>
      <c r="J729" s="181"/>
      <c r="K729" s="181"/>
    </row>
    <row r="730" spans="1:11">
      <c r="A730" s="175"/>
      <c r="B730" s="175"/>
      <c r="C730" s="175"/>
      <c r="G730" s="183"/>
      <c r="H730" s="181"/>
      <c r="I730" s="181"/>
      <c r="J730" s="181"/>
      <c r="K730" s="181"/>
    </row>
    <row r="731" spans="1:11" ht="14.4">
      <c r="A731" s="176"/>
      <c r="B731" s="468" t="s">
        <v>308</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4">
      <c r="A738" s="272"/>
      <c r="B738" s="468" t="s">
        <v>308</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4">
      <c r="A743" s="176"/>
      <c r="B743" s="468" t="s">
        <v>308</v>
      </c>
      <c r="C743" s="273"/>
      <c r="D743" s="1299" t="s">
        <v>1108</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4">
      <c r="A747" s="176"/>
      <c r="B747" s="468" t="s">
        <v>308</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1111</v>
      </c>
      <c r="B754" s="1287"/>
      <c r="C754" s="1287"/>
      <c r="D754" s="1287"/>
      <c r="E754" s="1287"/>
      <c r="F754" s="1287"/>
      <c r="G754" s="1287"/>
    </row>
    <row r="755" spans="1:11">
      <c r="A755" s="175"/>
      <c r="B755" s="175"/>
      <c r="C755" s="175"/>
      <c r="D755" s="184"/>
      <c r="F755" s="35"/>
      <c r="G755" s="183"/>
    </row>
    <row r="756" spans="1:11">
      <c r="D756" s="1295" t="s">
        <v>1095</v>
      </c>
      <c r="E756" s="1295"/>
      <c r="F756" s="1295"/>
      <c r="G756" s="183"/>
    </row>
    <row r="757" spans="1:11">
      <c r="A757" s="345"/>
      <c r="B757" s="345"/>
      <c r="C757" s="345"/>
      <c r="D757" s="1296" t="s">
        <v>1112</v>
      </c>
      <c r="E757" s="1296"/>
      <c r="F757" s="1296"/>
      <c r="G757" s="183"/>
    </row>
    <row r="758" spans="1:11">
      <c r="D758" s="433"/>
      <c r="E758" s="433"/>
      <c r="F758" s="433"/>
      <c r="G758" s="183"/>
    </row>
    <row r="759" spans="1:11" ht="14.4">
      <c r="A759" s="176"/>
      <c r="B759" s="468" t="s">
        <v>308</v>
      </c>
      <c r="D759" s="1296" t="s">
        <v>1005</v>
      </c>
      <c r="E759" s="1296"/>
      <c r="F759" s="1296"/>
      <c r="G759" s="183"/>
    </row>
    <row r="760" spans="1:11">
      <c r="D760" s="433"/>
      <c r="E760" s="1297" t="s">
        <v>1096</v>
      </c>
      <c r="F760" s="1297"/>
      <c r="G760" s="183"/>
    </row>
    <row r="761" spans="1:11">
      <c r="A761" s="172"/>
      <c r="B761" s="172"/>
      <c r="C761" s="172"/>
      <c r="D761" s="35"/>
      <c r="G761" s="183"/>
    </row>
    <row r="762" spans="1:11">
      <c r="A762" s="1294" t="s">
        <v>449</v>
      </c>
      <c r="B762" s="1294"/>
      <c r="C762" s="1294"/>
      <c r="D762" s="1294"/>
      <c r="E762" s="1294"/>
      <c r="F762" s="1294"/>
      <c r="G762" s="1294"/>
    </row>
    <row r="763" spans="1:11">
      <c r="A763" s="172"/>
      <c r="B763" s="172"/>
      <c r="C763" s="179"/>
      <c r="D763" s="183"/>
      <c r="E763" s="183"/>
      <c r="F763" s="183"/>
      <c r="G763" s="183"/>
    </row>
    <row r="764" spans="1:11">
      <c r="A764" s="35"/>
      <c r="B764" s="1290" t="s">
        <v>1004</v>
      </c>
      <c r="C764" s="1290"/>
      <c r="D764" s="1290"/>
      <c r="E764" s="1290"/>
      <c r="F764" s="1290"/>
      <c r="G764" s="183"/>
    </row>
    <row r="765" spans="1:11">
      <c r="A765" s="13"/>
      <c r="B765" s="13"/>
      <c r="G765" s="183"/>
    </row>
    <row r="766" spans="1:11">
      <c r="A766" s="1294" t="s">
        <v>450</v>
      </c>
      <c r="B766" s="1294"/>
      <c r="C766" s="1294"/>
      <c r="D766" s="1294"/>
      <c r="E766" s="1294"/>
      <c r="F766" s="1294"/>
      <c r="G766" s="1294"/>
    </row>
    <row r="767" spans="1:11">
      <c r="A767" s="172"/>
      <c r="B767" s="172"/>
      <c r="C767" s="172"/>
      <c r="D767" s="178"/>
      <c r="G767" s="183"/>
    </row>
    <row r="768" spans="1:11">
      <c r="A768" s="35"/>
      <c r="B768" s="1286" t="s">
        <v>448</v>
      </c>
      <c r="C768" s="1286"/>
      <c r="D768" s="1286"/>
      <c r="E768" s="1286"/>
      <c r="F768" s="1286"/>
      <c r="G768" s="183"/>
    </row>
    <row r="769" spans="1:7" ht="14.4">
      <c r="A769" s="176"/>
      <c r="B769" s="176"/>
      <c r="D769" s="35"/>
      <c r="E769" s="35"/>
      <c r="F769" s="183"/>
      <c r="G769" s="183"/>
    </row>
    <row r="770" spans="1:7">
      <c r="A770" s="1294" t="s">
        <v>451</v>
      </c>
      <c r="B770" s="1294"/>
      <c r="C770" s="1294"/>
      <c r="D770" s="1294"/>
      <c r="E770" s="1294"/>
      <c r="F770" s="1294"/>
      <c r="G770" s="1294"/>
    </row>
    <row r="771" spans="1:7">
      <c r="C771" s="175"/>
      <c r="D771" s="173"/>
      <c r="E771" s="35"/>
      <c r="F771" s="183"/>
      <c r="G771" s="183"/>
    </row>
    <row r="772" spans="1:7">
      <c r="A772" s="35"/>
      <c r="B772" s="1286" t="s">
        <v>448</v>
      </c>
      <c r="C772" s="1286"/>
      <c r="D772" s="1286"/>
      <c r="E772" s="1286"/>
      <c r="F772" s="1286"/>
      <c r="G772" s="183"/>
    </row>
    <row r="773" spans="1:7">
      <c r="A773" s="35"/>
      <c r="B773" s="35"/>
      <c r="C773" s="179"/>
      <c r="D773" s="183"/>
      <c r="E773" s="183"/>
      <c r="F773" s="183"/>
      <c r="G773" s="183"/>
    </row>
    <row r="774" spans="1:7">
      <c r="A774" s="1294" t="s">
        <v>452</v>
      </c>
      <c r="B774" s="1294"/>
      <c r="C774" s="1294"/>
      <c r="D774" s="1294"/>
      <c r="E774" s="1294"/>
      <c r="F774" s="1294"/>
      <c r="G774" s="1294"/>
    </row>
    <row r="775" spans="1:7">
      <c r="A775" s="35"/>
      <c r="B775" s="35"/>
    </row>
    <row r="776" spans="1:7">
      <c r="A776" s="35"/>
      <c r="B776" s="1286" t="s">
        <v>448</v>
      </c>
      <c r="C776" s="1286"/>
      <c r="D776" s="1286"/>
      <c r="E776" s="1286"/>
      <c r="F776" s="1286"/>
    </row>
    <row r="777" spans="1:7">
      <c r="A777" s="179"/>
      <c r="B777" s="179"/>
      <c r="C777" s="179"/>
      <c r="D777" s="174"/>
      <c r="F777" s="183"/>
    </row>
    <row r="778" spans="1:7">
      <c r="A778" s="1294" t="s">
        <v>453</v>
      </c>
      <c r="B778" s="1294"/>
      <c r="C778" s="1294"/>
      <c r="D778" s="1294"/>
      <c r="E778" s="1294"/>
      <c r="F778" s="1294"/>
      <c r="G778" s="1294"/>
    </row>
    <row r="779" spans="1:7">
      <c r="A779" s="35"/>
      <c r="B779" s="35"/>
    </row>
    <row r="780" spans="1:7">
      <c r="A780" s="35"/>
      <c r="B780" s="1286" t="s">
        <v>448</v>
      </c>
      <c r="C780" s="1286"/>
      <c r="D780" s="1286"/>
      <c r="E780" s="1286"/>
      <c r="F780" s="1286"/>
    </row>
    <row r="781" spans="1:7">
      <c r="A781" s="179"/>
      <c r="B781" s="179"/>
      <c r="C781" s="179"/>
      <c r="D781" s="174"/>
      <c r="F781" s="183"/>
    </row>
    <row r="782" spans="1:7">
      <c r="A782" s="1294" t="s">
        <v>454</v>
      </c>
      <c r="B782" s="1294"/>
      <c r="C782" s="1294"/>
      <c r="D782" s="1294"/>
      <c r="E782" s="1294"/>
      <c r="F782" s="1294"/>
      <c r="G782" s="1294"/>
    </row>
    <row r="783" spans="1:7">
      <c r="A783" s="35"/>
      <c r="B783" s="35"/>
    </row>
    <row r="784" spans="1:7">
      <c r="A784" s="35"/>
      <c r="B784" s="1286" t="s">
        <v>448</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448</v>
      </c>
      <c r="C788" s="1286"/>
      <c r="D788" s="1286"/>
      <c r="E788" s="1286"/>
      <c r="F788" s="1286"/>
    </row>
    <row r="789" spans="1:7">
      <c r="A789" s="35"/>
      <c r="B789" s="35"/>
      <c r="D789" s="174"/>
    </row>
    <row r="790" spans="1:7">
      <c r="A790" s="1294" t="s">
        <v>885</v>
      </c>
      <c r="B790" s="1294"/>
      <c r="C790" s="1294"/>
      <c r="D790" s="1294"/>
      <c r="E790" s="1294"/>
      <c r="F790" s="1294"/>
      <c r="G790" s="1294"/>
    </row>
    <row r="791" spans="1:7">
      <c r="A791" s="35"/>
      <c r="B791" s="35"/>
    </row>
    <row r="792" spans="1:7">
      <c r="A792" s="35"/>
      <c r="B792" s="1286" t="s">
        <v>448</v>
      </c>
      <c r="C792" s="1286"/>
      <c r="D792" s="1286"/>
      <c r="E792" s="1286"/>
      <c r="F792" s="1286"/>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26" workbookViewId="0">
      <selection activeCell="A2" sqref="A2:J2"/>
    </sheetView>
  </sheetViews>
  <sheetFormatPr defaultColWidth="0" defaultRowHeight="12.45" customHeight="1" zeroHeight="1"/>
  <cols>
    <col min="1" max="10" width="10.6640625" style="433" customWidth="1"/>
    <col min="11" max="16384" width="8.88671875" style="433" hidden="1"/>
  </cols>
  <sheetData>
    <row r="1" spans="1:10" ht="14.25" customHeight="1"/>
    <row r="2" spans="1:10" ht="15.6">
      <c r="A2" s="1319" t="s">
        <v>2057</v>
      </c>
      <c r="B2" s="1320"/>
      <c r="C2" s="1320"/>
      <c r="D2" s="1320"/>
      <c r="E2" s="1320"/>
      <c r="F2" s="1320"/>
      <c r="G2" s="1320"/>
      <c r="H2" s="1320"/>
      <c r="I2" s="1320"/>
      <c r="J2" s="1320"/>
    </row>
    <row r="3" spans="1:10" ht="15">
      <c r="A3" s="1323" t="s">
        <v>1378</v>
      </c>
      <c r="B3" s="1324"/>
      <c r="C3" s="1324"/>
      <c r="D3" s="1324"/>
      <c r="E3" s="1324"/>
      <c r="F3" s="1324"/>
      <c r="G3" s="1324"/>
      <c r="H3" s="1324"/>
      <c r="I3" s="1324"/>
      <c r="J3" s="1324"/>
    </row>
    <row r="4" spans="1:10" ht="13.2"/>
    <row r="5" spans="1:10" ht="12.75" customHeight="1">
      <c r="A5" s="1321" t="s">
        <v>2358</v>
      </c>
      <c r="B5" s="1321"/>
      <c r="C5" s="1321"/>
      <c r="D5" s="1321"/>
      <c r="E5" s="1321"/>
      <c r="F5" s="1321"/>
      <c r="G5" s="1321"/>
      <c r="H5" s="1321"/>
      <c r="I5" s="1321"/>
      <c r="J5" s="1321"/>
    </row>
    <row r="6" spans="1:10" ht="13.2">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3.2">
      <c r="A8" s="447"/>
      <c r="B8" s="447"/>
      <c r="C8" s="447"/>
      <c r="D8" s="447"/>
      <c r="E8" s="447"/>
      <c r="F8" s="447"/>
      <c r="G8" s="447"/>
      <c r="H8" s="447"/>
      <c r="I8" s="447"/>
      <c r="J8" s="447"/>
    </row>
    <row r="9" spans="1:10" ht="12.75" customHeight="1">
      <c r="A9" s="433" t="s">
        <v>2060</v>
      </c>
      <c r="B9" s="447"/>
      <c r="C9" s="447"/>
      <c r="D9" s="447"/>
      <c r="E9" s="447"/>
      <c r="F9" s="447"/>
      <c r="G9" s="447"/>
      <c r="H9" s="447"/>
      <c r="I9" s="447"/>
      <c r="J9" s="447"/>
    </row>
    <row r="10" spans="1:10" ht="13.2"/>
    <row r="11" spans="1:10" ht="12.75" customHeight="1">
      <c r="A11" s="1325" t="s">
        <v>2062</v>
      </c>
      <c r="B11" s="1325"/>
      <c r="C11" s="1325"/>
      <c r="D11" s="1325"/>
      <c r="E11" s="1325"/>
      <c r="F11" s="1325"/>
      <c r="G11" s="1325"/>
      <c r="H11" s="1325"/>
      <c r="I11" s="1325"/>
      <c r="J11" s="1325"/>
    </row>
    <row r="12" spans="1:10" ht="13.2">
      <c r="A12" s="1325"/>
      <c r="B12" s="1325"/>
      <c r="C12" s="1325"/>
      <c r="D12" s="1325"/>
      <c r="E12" s="1325"/>
      <c r="F12" s="1325"/>
      <c r="G12" s="1325"/>
      <c r="H12" s="1325"/>
      <c r="I12" s="1325"/>
      <c r="J12" s="1325"/>
    </row>
    <row r="13" spans="1:10" ht="13.2">
      <c r="A13" s="1325"/>
      <c r="B13" s="1325"/>
      <c r="C13" s="1325"/>
      <c r="D13" s="1325"/>
      <c r="E13" s="1325"/>
      <c r="F13" s="1325"/>
      <c r="G13" s="1325"/>
      <c r="H13" s="1325"/>
      <c r="I13" s="1325"/>
      <c r="J13" s="1325"/>
    </row>
    <row r="14" spans="1:10" ht="13.2">
      <c r="A14" s="1325"/>
      <c r="B14" s="1325"/>
      <c r="C14" s="1325"/>
      <c r="D14" s="1325"/>
      <c r="E14" s="1325"/>
      <c r="F14" s="1325"/>
      <c r="G14" s="1325"/>
      <c r="H14" s="1325"/>
      <c r="I14" s="1325"/>
      <c r="J14" s="1325"/>
    </row>
    <row r="15" spans="1:10" ht="13.2">
      <c r="A15" s="1325"/>
      <c r="B15" s="1325"/>
      <c r="C15" s="1325"/>
      <c r="D15" s="1325"/>
      <c r="E15" s="1325"/>
      <c r="F15" s="1325"/>
      <c r="G15" s="1325"/>
      <c r="H15" s="1325"/>
      <c r="I15" s="1325"/>
      <c r="J15" s="1325"/>
    </row>
    <row r="16" spans="1:10" ht="13.2">
      <c r="A16" s="1325"/>
      <c r="B16" s="1325"/>
      <c r="C16" s="1325"/>
      <c r="D16" s="1325"/>
      <c r="E16" s="1325"/>
      <c r="F16" s="1325"/>
      <c r="G16" s="1325"/>
      <c r="H16" s="1325"/>
      <c r="I16" s="1325"/>
      <c r="J16" s="1325"/>
    </row>
    <row r="17" spans="1:10" ht="13.2">
      <c r="A17" s="558"/>
      <c r="B17" s="558"/>
      <c r="C17" s="558"/>
      <c r="D17" s="558"/>
      <c r="E17" s="558"/>
      <c r="F17" s="558"/>
      <c r="G17" s="558"/>
      <c r="H17" s="558"/>
      <c r="I17" s="558"/>
      <c r="J17" s="558"/>
    </row>
    <row r="18" spans="1:10" ht="13.2">
      <c r="A18" s="510" t="s">
        <v>2061</v>
      </c>
      <c r="B18" s="447"/>
      <c r="C18" s="447"/>
      <c r="D18" s="447"/>
      <c r="E18" s="447"/>
      <c r="F18" s="447"/>
      <c r="G18" s="447"/>
      <c r="H18" s="447"/>
      <c r="I18" s="447"/>
      <c r="J18" s="447"/>
    </row>
    <row r="19" spans="1:10" ht="13.2">
      <c r="A19" s="447" t="s">
        <v>251</v>
      </c>
      <c r="B19" s="447"/>
      <c r="C19" s="447"/>
      <c r="D19" s="447"/>
      <c r="E19" s="447"/>
      <c r="F19" s="447"/>
      <c r="G19" s="447"/>
      <c r="H19" s="447"/>
      <c r="I19" s="447"/>
      <c r="J19" s="447"/>
    </row>
    <row r="20" spans="1:10" ht="13.2">
      <c r="A20" s="1324" t="s">
        <v>1295</v>
      </c>
      <c r="B20" s="1324"/>
      <c r="C20" s="1324"/>
      <c r="D20" s="1324"/>
      <c r="E20" s="1324"/>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21" t="s">
        <v>1296</v>
      </c>
      <c r="B57" s="1321"/>
      <c r="C57" s="1321"/>
      <c r="D57" s="1321"/>
      <c r="E57" s="1321"/>
      <c r="F57" s="1321"/>
      <c r="G57" s="1321"/>
      <c r="H57" s="1321"/>
      <c r="I57" s="1321"/>
      <c r="J57" s="1321"/>
    </row>
    <row r="58" spans="1:10" ht="13.2">
      <c r="A58" s="1321"/>
      <c r="B58" s="1321"/>
      <c r="C58" s="1321"/>
      <c r="D58" s="1321"/>
      <c r="E58" s="1321"/>
      <c r="F58" s="1321"/>
      <c r="G58" s="1321"/>
      <c r="H58" s="1321"/>
      <c r="I58" s="1321"/>
      <c r="J58" s="1321"/>
    </row>
    <row r="59" spans="1:10" ht="13.2">
      <c r="A59" s="1321"/>
      <c r="B59" s="1321"/>
      <c r="C59" s="1321"/>
      <c r="D59" s="1321"/>
      <c r="E59" s="1321"/>
      <c r="F59" s="1321"/>
      <c r="G59" s="1321"/>
      <c r="H59" s="1321"/>
      <c r="I59" s="1321"/>
      <c r="J59" s="1321"/>
    </row>
    <row r="60" spans="1:10" ht="13.2"/>
    <row r="61" spans="1:10" ht="13.2">
      <c r="A61" s="433" t="s">
        <v>1295</v>
      </c>
    </row>
    <row r="62" spans="1:10" ht="13.2"/>
    <row r="63" spans="1:10" ht="13.2"/>
    <row r="64" spans="1:10" ht="13.2"/>
    <row r="65" spans="1:9" ht="13.2"/>
    <row r="66" spans="1:9" ht="13.2"/>
    <row r="67" spans="1:9" ht="13.2"/>
    <row r="68" spans="1:9" ht="13.2"/>
    <row r="69" spans="1:9" ht="13.2"/>
    <row r="70" spans="1:9" ht="13.2"/>
    <row r="71" spans="1:9" ht="13.2"/>
    <row r="72" spans="1:9" ht="13.2">
      <c r="A72" s="1322" t="s">
        <v>2058</v>
      </c>
      <c r="B72" s="1322"/>
      <c r="C72" s="1322"/>
      <c r="D72" s="1322"/>
      <c r="E72" s="1322"/>
      <c r="F72" s="1322"/>
      <c r="G72" s="1322"/>
      <c r="H72" s="1322"/>
      <c r="I72" s="1322"/>
    </row>
    <row r="73" spans="1:9" ht="13.2">
      <c r="A73" s="1273" t="s">
        <v>2356</v>
      </c>
      <c r="B73" s="1273"/>
      <c r="C73" s="1273"/>
      <c r="D73" s="1273"/>
      <c r="E73" s="1273"/>
    </row>
    <row r="74" spans="1:9" ht="13.2">
      <c r="A74" s="1273" t="s">
        <v>2357</v>
      </c>
      <c r="B74" s="1273"/>
      <c r="C74" s="1273"/>
      <c r="D74" s="1273"/>
      <c r="E74" s="1273"/>
    </row>
    <row r="75" spans="1:9" ht="13.2">
      <c r="A75" s="1273" t="s">
        <v>2059</v>
      </c>
      <c r="B75" s="1273"/>
      <c r="C75" s="1273"/>
      <c r="D75" s="1273"/>
      <c r="E75" s="1273"/>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224" workbookViewId="0">
      <selection activeCell="B1042" sqref="B1042"/>
    </sheetView>
  </sheetViews>
  <sheetFormatPr defaultColWidth="0" defaultRowHeight="13.2" zeroHeight="1"/>
  <cols>
    <col min="1" max="1" width="3.5546875" style="514" customWidth="1"/>
    <col min="2" max="2" width="13.5546875" style="514" customWidth="1"/>
    <col min="3" max="3" width="2.5546875" style="514" customWidth="1"/>
    <col min="4" max="5" width="3.5546875" style="433" customWidth="1"/>
    <col min="6" max="6" width="65.5546875" style="433" customWidth="1"/>
    <col min="7" max="7" width="1.5546875" style="433" customWidth="1"/>
    <col min="8" max="8" width="3.5546875" style="433" customWidth="1"/>
    <col min="9" max="9" width="24.44140625" style="435" customWidth="1"/>
    <col min="10" max="10" width="8.88671875" style="433" customWidth="1"/>
    <col min="11" max="16384" width="8.88671875" style="433" hidden="1"/>
  </cols>
  <sheetData>
    <row r="1" spans="1:13"/>
    <row r="2" spans="1:13">
      <c r="A2" s="1326" t="s">
        <v>2580</v>
      </c>
      <c r="B2" s="1326"/>
      <c r="C2" s="1326"/>
      <c r="D2" s="1326"/>
      <c r="E2" s="1326"/>
      <c r="F2" s="1326"/>
      <c r="G2" s="1326"/>
      <c r="H2" s="1326"/>
      <c r="I2" s="1326"/>
    </row>
    <row r="3" spans="1:13">
      <c r="A3" s="1327" t="s">
        <v>2626</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2625</v>
      </c>
      <c r="B6" s="1341"/>
      <c r="C6" s="1341"/>
      <c r="D6" s="1341"/>
      <c r="E6" s="1341"/>
      <c r="F6" s="1341"/>
      <c r="G6" s="1341"/>
      <c r="I6" s="524" t="s">
        <v>2068</v>
      </c>
    </row>
    <row r="7" spans="1:13">
      <c r="A7" s="1341"/>
      <c r="B7" s="1341"/>
      <c r="C7" s="1341"/>
      <c r="D7" s="1341"/>
      <c r="E7" s="1341"/>
      <c r="F7" s="1341"/>
      <c r="G7" s="1341"/>
      <c r="I7" s="524" t="s">
        <v>2069</v>
      </c>
    </row>
    <row r="8" spans="1:13">
      <c r="A8" s="515"/>
      <c r="B8" s="515"/>
      <c r="C8" s="516"/>
      <c r="D8" s="516"/>
      <c r="E8" s="516"/>
      <c r="F8" s="516"/>
    </row>
    <row r="9" spans="1:13">
      <c r="A9" s="1287" t="s">
        <v>1168</v>
      </c>
      <c r="B9" s="1287"/>
      <c r="C9" s="1287"/>
      <c r="D9" s="1287"/>
      <c r="E9" s="1287"/>
      <c r="F9" s="1287"/>
      <c r="G9" s="1287"/>
      <c r="H9" s="1063"/>
      <c r="I9" s="1064"/>
    </row>
    <row r="10" spans="1:13">
      <c r="A10" s="516"/>
      <c r="B10" s="516"/>
      <c r="E10" s="435"/>
    </row>
    <row r="11" spans="1:13" ht="13.65" customHeight="1">
      <c r="C11" s="516"/>
      <c r="D11" s="1340" t="s">
        <v>1167</v>
      </c>
      <c r="E11" s="1340"/>
      <c r="F11" s="1340"/>
    </row>
    <row r="12" spans="1:13">
      <c r="C12" s="516"/>
      <c r="D12" s="1340"/>
      <c r="E12" s="1340"/>
      <c r="F12" s="1340"/>
    </row>
    <row r="13" spans="1:13">
      <c r="A13" s="517"/>
      <c r="B13" s="517"/>
      <c r="C13" s="517"/>
      <c r="D13" s="1310" t="s">
        <v>1150</v>
      </c>
      <c r="E13" s="1310"/>
      <c r="F13" s="1310"/>
      <c r="M13" s="96"/>
    </row>
    <row r="14" spans="1:13">
      <c r="A14" s="517"/>
      <c r="B14" s="517"/>
      <c r="C14" s="517"/>
      <c r="D14" s="510"/>
      <c r="L14" s="336"/>
    </row>
    <row r="15" spans="1:13" ht="14.4">
      <c r="A15" s="518"/>
      <c r="B15" s="519" t="s">
        <v>2720</v>
      </c>
      <c r="C15" s="517"/>
      <c r="D15" s="1281" t="s">
        <v>2219</v>
      </c>
      <c r="E15" s="1281"/>
      <c r="F15" s="1281"/>
      <c r="I15" s="524" t="s">
        <v>2070</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2217</v>
      </c>
      <c r="F18" s="479"/>
      <c r="I18" s="524"/>
    </row>
    <row r="19" spans="1:9">
      <c r="A19" s="517"/>
      <c r="B19" s="517"/>
      <c r="C19" s="517"/>
      <c r="I19" s="524"/>
    </row>
    <row r="20" spans="1:9" ht="14.4">
      <c r="A20" s="518"/>
      <c r="B20" s="519" t="s">
        <v>2719</v>
      </c>
      <c r="D20" s="1281" t="s">
        <v>2220</v>
      </c>
      <c r="E20" s="1281"/>
      <c r="F20" s="1281"/>
      <c r="I20" s="524" t="s">
        <v>2071</v>
      </c>
    </row>
    <row r="21" spans="1:9" ht="14.4">
      <c r="A21" s="518"/>
      <c r="D21" s="1281"/>
      <c r="E21" s="1281"/>
      <c r="F21" s="1281"/>
      <c r="I21" s="524"/>
    </row>
    <row r="22" spans="1:9" ht="14.4">
      <c r="A22" s="518"/>
      <c r="D22" s="423"/>
      <c r="E22" s="96" t="s">
        <v>2216</v>
      </c>
      <c r="F22" s="423"/>
      <c r="I22" s="524"/>
    </row>
    <row r="23" spans="1:9" ht="14.4">
      <c r="A23" s="518"/>
      <c r="B23" s="518"/>
      <c r="D23" s="480"/>
      <c r="I23" s="524"/>
    </row>
    <row r="24" spans="1:9" ht="14.4">
      <c r="A24" s="518"/>
      <c r="B24" s="519" t="s">
        <v>2720</v>
      </c>
      <c r="D24" s="1281" t="s">
        <v>1153</v>
      </c>
      <c r="E24" s="1281"/>
      <c r="F24" s="1281"/>
      <c r="I24" s="524" t="s">
        <v>2071</v>
      </c>
    </row>
    <row r="25" spans="1:9" ht="14.4">
      <c r="A25" s="518"/>
      <c r="B25" s="518"/>
      <c r="D25" s="1281"/>
      <c r="E25" s="1281"/>
      <c r="F25" s="1281"/>
      <c r="I25" s="524"/>
    </row>
    <row r="26" spans="1:9">
      <c r="I26" s="524"/>
    </row>
    <row r="27" spans="1:9" ht="14.4">
      <c r="A27" s="518"/>
      <c r="B27" s="519" t="s">
        <v>2719</v>
      </c>
      <c r="D27" s="1281" t="s">
        <v>2359</v>
      </c>
      <c r="E27" s="1281"/>
      <c r="F27" s="1281"/>
      <c r="I27" s="524" t="s">
        <v>2074</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2719</v>
      </c>
      <c r="D33" s="1281" t="s">
        <v>2360</v>
      </c>
      <c r="E33" s="1281"/>
      <c r="F33" s="1281"/>
      <c r="I33" s="524" t="s">
        <v>2070</v>
      </c>
    </row>
    <row r="34" spans="1:9">
      <c r="D34" s="1281"/>
      <c r="E34" s="1281"/>
      <c r="F34" s="1281"/>
      <c r="I34" s="524"/>
    </row>
    <row r="35" spans="1:9" ht="14.4">
      <c r="A35" s="518"/>
      <c r="B35" s="518"/>
      <c r="D35" s="481"/>
      <c r="I35" s="524"/>
    </row>
    <row r="36" spans="1:9" ht="14.4" customHeight="1">
      <c r="A36" s="518"/>
      <c r="B36" s="519" t="s">
        <v>2719</v>
      </c>
      <c r="D36" s="1281" t="s">
        <v>1320</v>
      </c>
      <c r="E36" s="1281"/>
      <c r="F36" s="1281"/>
      <c r="I36" s="524" t="s">
        <v>2141</v>
      </c>
    </row>
    <row r="37" spans="1:9" ht="14.4">
      <c r="A37" s="518"/>
      <c r="B37" s="518"/>
      <c r="D37" s="1281"/>
      <c r="E37" s="1281"/>
      <c r="F37" s="1281"/>
      <c r="I37" s="524"/>
    </row>
    <row r="38" spans="1:9" ht="14.4">
      <c r="A38" s="518"/>
      <c r="B38" s="518"/>
      <c r="D38" s="1281"/>
      <c r="E38" s="1281"/>
      <c r="F38" s="1281"/>
      <c r="I38" s="524"/>
    </row>
    <row r="39" spans="1:9" ht="14.4">
      <c r="A39" s="518"/>
      <c r="B39" s="518"/>
      <c r="D39" s="1281"/>
      <c r="E39" s="1281"/>
      <c r="F39" s="1281"/>
      <c r="I39" s="524"/>
    </row>
    <row r="40" spans="1:9" ht="14.4">
      <c r="A40" s="518"/>
      <c r="B40" s="518"/>
      <c r="I40" s="524"/>
    </row>
    <row r="41" spans="1:9" ht="14.4">
      <c r="A41" s="518"/>
      <c r="B41" s="519" t="s">
        <v>2720</v>
      </c>
      <c r="D41" s="1281" t="s">
        <v>1157</v>
      </c>
      <c r="E41" s="1281"/>
      <c r="F41" s="1281"/>
      <c r="I41" s="524"/>
    </row>
    <row r="42" spans="1:9" ht="14.4">
      <c r="A42" s="518"/>
      <c r="B42" s="518"/>
      <c r="D42" s="1281"/>
      <c r="E42" s="1281"/>
      <c r="F42" s="1281"/>
      <c r="I42" s="524"/>
    </row>
    <row r="43" spans="1:9" ht="14.4">
      <c r="A43" s="518"/>
      <c r="B43" s="518"/>
      <c r="D43" s="1281"/>
      <c r="E43" s="1281"/>
      <c r="F43" s="1281"/>
      <c r="I43" s="524"/>
    </row>
    <row r="44" spans="1:9" ht="14.4">
      <c r="A44" s="518"/>
      <c r="B44" s="518"/>
      <c r="D44" s="1281"/>
      <c r="E44" s="1281"/>
      <c r="F44" s="1281"/>
      <c r="I44" s="524"/>
    </row>
    <row r="45" spans="1:9" ht="14.4">
      <c r="A45" s="518"/>
      <c r="B45" s="518"/>
      <c r="D45" s="1281"/>
      <c r="E45" s="1281"/>
      <c r="F45" s="1281"/>
      <c r="I45" s="524"/>
    </row>
    <row r="46" spans="1:9" ht="14.4">
      <c r="A46" s="518"/>
      <c r="B46" s="518"/>
      <c r="D46" s="479"/>
      <c r="E46" s="479"/>
      <c r="F46" s="479"/>
      <c r="I46" s="524"/>
    </row>
    <row r="47" spans="1:9" ht="14.4">
      <c r="A47" s="518"/>
      <c r="B47" s="519" t="s">
        <v>2720</v>
      </c>
      <c r="D47" s="1281" t="s">
        <v>1158</v>
      </c>
      <c r="E47" s="1281"/>
      <c r="F47" s="1281"/>
      <c r="I47" s="524" t="s">
        <v>2141</v>
      </c>
    </row>
    <row r="48" spans="1:9" ht="14.4">
      <c r="A48" s="518"/>
      <c r="B48" s="518"/>
      <c r="D48" s="1281"/>
      <c r="E48" s="1281"/>
      <c r="F48" s="1281"/>
      <c r="I48" s="524"/>
    </row>
    <row r="49" spans="1:9" ht="14.4">
      <c r="A49" s="518"/>
      <c r="B49" s="518"/>
      <c r="D49" s="1281"/>
      <c r="E49" s="1281"/>
      <c r="F49" s="1281"/>
      <c r="I49" s="524"/>
    </row>
    <row r="50" spans="1:9" ht="23.25" customHeight="1">
      <c r="A50" s="518"/>
      <c r="B50" s="518"/>
      <c r="D50" s="1281"/>
      <c r="E50" s="1281"/>
      <c r="F50" s="1281"/>
      <c r="I50" s="524"/>
    </row>
    <row r="51" spans="1:9" ht="14.4">
      <c r="A51" s="518"/>
      <c r="B51" s="518"/>
      <c r="D51" s="480"/>
      <c r="I51" s="524"/>
    </row>
    <row r="52" spans="1:9" ht="14.4" customHeight="1">
      <c r="A52" s="518"/>
      <c r="B52" s="519" t="s">
        <v>2720</v>
      </c>
      <c r="D52" s="1281" t="s">
        <v>1159</v>
      </c>
      <c r="E52" s="1281"/>
      <c r="F52" s="1281"/>
      <c r="I52" s="524" t="s">
        <v>2141</v>
      </c>
    </row>
    <row r="53" spans="1:9" ht="14.4">
      <c r="A53" s="518"/>
      <c r="B53" s="518"/>
      <c r="D53" s="1281"/>
      <c r="E53" s="1281"/>
      <c r="F53" s="1281"/>
      <c r="I53" s="524"/>
    </row>
    <row r="54" spans="1:9" ht="14.4">
      <c r="A54" s="518"/>
      <c r="B54" s="518"/>
      <c r="D54" s="1281"/>
      <c r="E54" s="1281"/>
      <c r="F54" s="1281"/>
      <c r="I54" s="524"/>
    </row>
    <row r="55" spans="1:9" ht="14.4">
      <c r="A55" s="518"/>
      <c r="B55" s="518"/>
      <c r="I55" s="524"/>
    </row>
    <row r="56" spans="1:9" ht="14.4">
      <c r="A56" s="518"/>
      <c r="B56" s="519" t="s">
        <v>2719</v>
      </c>
      <c r="D56" s="1337" t="s">
        <v>1160</v>
      </c>
      <c r="E56" s="1337"/>
      <c r="F56" s="1337"/>
      <c r="I56" s="524"/>
    </row>
    <row r="57" spans="1:9" ht="14.4">
      <c r="A57" s="518"/>
      <c r="B57" s="518"/>
      <c r="D57" s="1337"/>
      <c r="E57" s="1337"/>
      <c r="F57" s="1337"/>
      <c r="I57" s="524"/>
    </row>
    <row r="58" spans="1:9" ht="14.4">
      <c r="A58" s="518"/>
      <c r="B58" s="518"/>
      <c r="D58" s="423" t="s">
        <v>2218</v>
      </c>
      <c r="E58" s="479"/>
      <c r="F58" s="479"/>
      <c r="I58" s="524"/>
    </row>
    <row r="59" spans="1:9" ht="14.4">
      <c r="A59" s="518"/>
      <c r="B59" s="518"/>
      <c r="D59" s="479"/>
      <c r="E59" s="336" t="s">
        <v>2217</v>
      </c>
      <c r="F59" s="479"/>
      <c r="I59" s="524"/>
    </row>
    <row r="60" spans="1:9">
      <c r="D60" s="481"/>
      <c r="I60" s="524"/>
    </row>
    <row r="61" spans="1:9" ht="14.4">
      <c r="A61" s="518"/>
      <c r="B61" s="519" t="s">
        <v>2720</v>
      </c>
      <c r="D61" s="1281" t="s">
        <v>1161</v>
      </c>
      <c r="E61" s="1281"/>
      <c r="F61" s="1281"/>
      <c r="I61" s="524" t="s">
        <v>2072</v>
      </c>
    </row>
    <row r="62" spans="1:9">
      <c r="D62" s="1281"/>
      <c r="E62" s="1281"/>
      <c r="F62" s="1281"/>
      <c r="I62" s="524"/>
    </row>
    <row r="63" spans="1:9">
      <c r="D63" s="1281"/>
      <c r="E63" s="1281"/>
      <c r="F63" s="1281"/>
      <c r="I63" s="524"/>
    </row>
    <row r="64" spans="1:9">
      <c r="I64" s="524"/>
    </row>
    <row r="65" spans="1:9" ht="14.4">
      <c r="A65" s="518"/>
      <c r="B65" s="519" t="s">
        <v>2720</v>
      </c>
      <c r="D65" s="1281" t="s">
        <v>1162</v>
      </c>
      <c r="E65" s="1281"/>
      <c r="F65" s="1281"/>
      <c r="I65" s="524" t="s">
        <v>2073</v>
      </c>
    </row>
    <row r="66" spans="1:9">
      <c r="D66" s="1281"/>
      <c r="E66" s="1281"/>
      <c r="F66" s="1281"/>
      <c r="I66" s="524"/>
    </row>
    <row r="67" spans="1:9">
      <c r="I67" s="524"/>
    </row>
    <row r="68" spans="1:9" ht="14.4">
      <c r="A68" s="518"/>
      <c r="B68" s="519" t="s">
        <v>2719</v>
      </c>
      <c r="D68" s="1281" t="s">
        <v>1163</v>
      </c>
      <c r="E68" s="1281"/>
      <c r="F68" s="1281"/>
      <c r="I68" s="524"/>
    </row>
    <row r="69" spans="1:9">
      <c r="D69" s="1281"/>
      <c r="E69" s="1281"/>
      <c r="F69" s="1281"/>
      <c r="I69" s="524" t="s">
        <v>2074</v>
      </c>
    </row>
    <row r="70" spans="1:9">
      <c r="D70" s="1281"/>
      <c r="E70" s="1281"/>
      <c r="F70" s="1281"/>
      <c r="I70" s="524"/>
    </row>
    <row r="71" spans="1:9">
      <c r="I71" s="524"/>
    </row>
    <row r="72" spans="1:9" ht="14.4">
      <c r="A72" s="518"/>
      <c r="B72" s="519" t="s">
        <v>2719</v>
      </c>
      <c r="D72" s="1281" t="s">
        <v>1164</v>
      </c>
      <c r="E72" s="1281"/>
      <c r="F72" s="1281"/>
      <c r="I72" s="524" t="s">
        <v>2074</v>
      </c>
    </row>
    <row r="73" spans="1:9">
      <c r="D73" s="1281"/>
      <c r="E73" s="1281"/>
      <c r="F73" s="1281"/>
      <c r="I73" s="524"/>
    </row>
    <row r="74" spans="1:9" ht="14.4">
      <c r="A74" s="518"/>
      <c r="B74" s="518"/>
      <c r="D74" s="480"/>
      <c r="I74" s="524"/>
    </row>
    <row r="75" spans="1:9">
      <c r="A75" s="1287" t="s">
        <v>1071</v>
      </c>
      <c r="B75" s="1287"/>
      <c r="C75" s="1287"/>
      <c r="D75" s="1287"/>
      <c r="E75" s="1287"/>
      <c r="F75" s="1287"/>
      <c r="G75" s="1287"/>
      <c r="H75" s="1063"/>
      <c r="I75" s="1259"/>
    </row>
    <row r="76" spans="1:9">
      <c r="I76" s="524"/>
    </row>
    <row r="77" spans="1:9">
      <c r="C77" s="520"/>
      <c r="D77" s="1309" t="s">
        <v>1169</v>
      </c>
      <c r="E77" s="1309"/>
      <c r="F77" s="1309"/>
      <c r="I77" s="524"/>
    </row>
    <row r="78" spans="1:9">
      <c r="A78" s="480"/>
      <c r="B78" s="480"/>
      <c r="D78" s="1281" t="s">
        <v>1196</v>
      </c>
      <c r="E78" s="1281"/>
      <c r="F78" s="1281"/>
      <c r="I78" s="524"/>
    </row>
    <row r="79" spans="1:9">
      <c r="A79" s="480"/>
      <c r="B79" s="480"/>
      <c r="I79" s="524"/>
    </row>
    <row r="80" spans="1:9" ht="13.65" customHeight="1">
      <c r="A80" s="518"/>
      <c r="B80" s="519" t="s">
        <v>2719</v>
      </c>
      <c r="D80" s="1281" t="s">
        <v>1353</v>
      </c>
      <c r="E80" s="1281"/>
      <c r="F80" s="1281"/>
      <c r="I80" s="524" t="s">
        <v>2075</v>
      </c>
    </row>
    <row r="81" spans="1:9" ht="14.4">
      <c r="A81" s="518"/>
      <c r="B81" s="518"/>
      <c r="D81" s="1281"/>
      <c r="E81" s="1281"/>
      <c r="F81" s="1281"/>
      <c r="I81" s="524"/>
    </row>
    <row r="82" spans="1:9" ht="14.4">
      <c r="A82" s="518"/>
      <c r="B82" s="518"/>
      <c r="D82" s="1281"/>
      <c r="E82" s="1281"/>
      <c r="F82" s="1281"/>
      <c r="I82" s="524"/>
    </row>
    <row r="83" spans="1:9" ht="14.4">
      <c r="A83" s="518"/>
      <c r="B83" s="518"/>
      <c r="D83" s="1281"/>
      <c r="E83" s="1281"/>
      <c r="F83" s="1281"/>
      <c r="I83" s="524"/>
    </row>
    <row r="84" spans="1:9" ht="14.4">
      <c r="A84" s="518"/>
      <c r="B84" s="518"/>
      <c r="D84" s="1281"/>
      <c r="E84" s="1281"/>
      <c r="F84" s="1281"/>
      <c r="I84" s="524"/>
    </row>
    <row r="85" spans="1:9" ht="14.4">
      <c r="A85" s="518"/>
      <c r="B85" s="518"/>
      <c r="D85" s="1281"/>
      <c r="E85" s="1281"/>
      <c r="F85" s="1281"/>
      <c r="I85" s="524"/>
    </row>
    <row r="86" spans="1:9" ht="14.4">
      <c r="A86" s="518"/>
      <c r="B86" s="518"/>
      <c r="D86" s="1281"/>
      <c r="E86" s="1281"/>
      <c r="F86" s="1281"/>
      <c r="I86" s="524"/>
    </row>
    <row r="87" spans="1:9" ht="14.4">
      <c r="A87" s="518"/>
      <c r="B87" s="518"/>
      <c r="D87" s="1281"/>
      <c r="E87" s="1281"/>
      <c r="F87" s="1281"/>
      <c r="I87" s="524"/>
    </row>
    <row r="88" spans="1:9" ht="14.4">
      <c r="A88" s="518"/>
      <c r="B88" s="518"/>
      <c r="D88" s="416"/>
      <c r="E88" s="416"/>
      <c r="F88" s="416"/>
      <c r="I88" s="524"/>
    </row>
    <row r="89" spans="1:9" ht="15" customHeight="1">
      <c r="A89" s="518"/>
      <c r="B89" s="519" t="s">
        <v>2719</v>
      </c>
      <c r="D89" s="1281" t="s">
        <v>1929</v>
      </c>
      <c r="E89" s="1281"/>
      <c r="F89" s="1281"/>
      <c r="I89" s="524" t="s">
        <v>2076</v>
      </c>
    </row>
    <row r="90" spans="1:9" ht="14.4">
      <c r="A90" s="518"/>
      <c r="B90" s="518"/>
      <c r="D90" s="1281"/>
      <c r="E90" s="1281"/>
      <c r="F90" s="1281"/>
      <c r="I90" s="524"/>
    </row>
    <row r="91" spans="1:9" ht="14.4">
      <c r="A91" s="518"/>
      <c r="B91" s="518"/>
      <c r="D91" s="479"/>
      <c r="E91" s="479"/>
      <c r="F91" s="479"/>
      <c r="I91" s="524"/>
    </row>
    <row r="92" spans="1:9" ht="14.4">
      <c r="A92" s="518"/>
      <c r="B92" s="519" t="s">
        <v>2720</v>
      </c>
      <c r="D92" s="1281" t="s">
        <v>1932</v>
      </c>
      <c r="E92" s="1281"/>
      <c r="F92" s="1281"/>
      <c r="I92" s="524" t="s">
        <v>2077</v>
      </c>
    </row>
    <row r="93" spans="1:9" ht="14.4">
      <c r="A93" s="518"/>
      <c r="B93" s="518"/>
      <c r="D93" s="1281"/>
      <c r="E93" s="1281"/>
      <c r="F93" s="1281"/>
      <c r="I93" s="524"/>
    </row>
    <row r="94" spans="1:9" ht="14.4">
      <c r="A94" s="518"/>
      <c r="B94" s="518"/>
      <c r="D94" s="1281"/>
      <c r="E94" s="1281"/>
      <c r="F94" s="1281"/>
      <c r="I94" s="524"/>
    </row>
    <row r="95" spans="1:9" ht="14.4">
      <c r="A95" s="518"/>
      <c r="B95" s="518"/>
      <c r="D95" s="479"/>
      <c r="E95" s="479"/>
      <c r="F95" s="479"/>
      <c r="I95" s="524"/>
    </row>
    <row r="96" spans="1:9" ht="14.4">
      <c r="A96" s="518"/>
      <c r="B96" s="519" t="s">
        <v>2719</v>
      </c>
      <c r="D96" s="1281" t="s">
        <v>1931</v>
      </c>
      <c r="E96" s="1281"/>
      <c r="F96" s="1281"/>
      <c r="I96" s="524" t="s">
        <v>2122</v>
      </c>
    </row>
    <row r="97" spans="1:9" s="1022" customFormat="1" ht="14.4">
      <c r="A97" s="1020"/>
      <c r="B97" s="1020"/>
      <c r="C97" s="1021"/>
      <c r="D97" s="1281"/>
      <c r="E97" s="1281"/>
      <c r="F97" s="1281"/>
      <c r="I97" s="1260"/>
    </row>
    <row r="98" spans="1:9" ht="14.4">
      <c r="A98" s="518"/>
      <c r="B98" s="518"/>
      <c r="D98" s="423"/>
      <c r="E98" s="336" t="s">
        <v>2221</v>
      </c>
      <c r="F98" s="479"/>
      <c r="I98" s="524"/>
    </row>
    <row r="99" spans="1:9" ht="14.4">
      <c r="A99" s="518"/>
      <c r="B99" s="518"/>
      <c r="D99" s="416"/>
      <c r="E99" s="416"/>
      <c r="F99" s="416"/>
      <c r="I99" s="524"/>
    </row>
    <row r="100" spans="1:9" ht="14.4">
      <c r="A100" s="518"/>
      <c r="B100" s="519" t="s">
        <v>2720</v>
      </c>
      <c r="D100" s="1281" t="s">
        <v>1930</v>
      </c>
      <c r="E100" s="1281"/>
      <c r="F100" s="1281"/>
      <c r="I100" s="524" t="s">
        <v>2078</v>
      </c>
    </row>
    <row r="101" spans="1:9" ht="14.4">
      <c r="A101" s="518"/>
      <c r="B101" s="518"/>
      <c r="D101" s="1281"/>
      <c r="E101" s="1281"/>
      <c r="F101" s="1281"/>
      <c r="I101" s="524"/>
    </row>
    <row r="102" spans="1:9" ht="14.4">
      <c r="A102" s="518"/>
      <c r="B102" s="518"/>
      <c r="D102" s="479"/>
      <c r="E102" s="479"/>
      <c r="F102" s="479"/>
      <c r="I102" s="524"/>
    </row>
    <row r="103" spans="1:9" ht="14.4" customHeight="1">
      <c r="A103" s="518"/>
      <c r="B103" s="519" t="s">
        <v>2720</v>
      </c>
      <c r="D103" s="1281" t="s">
        <v>1300</v>
      </c>
      <c r="E103" s="1281"/>
      <c r="F103" s="1281"/>
      <c r="I103" s="524" t="s">
        <v>2079</v>
      </c>
    </row>
    <row r="104" spans="1:9" ht="14.4">
      <c r="A104" s="518"/>
      <c r="B104" s="518"/>
      <c r="D104" s="1281"/>
      <c r="E104" s="1281"/>
      <c r="F104" s="1281"/>
      <c r="I104" s="524"/>
    </row>
    <row r="105" spans="1:9" ht="14.4">
      <c r="A105" s="518"/>
      <c r="B105" s="518"/>
      <c r="D105" s="1281"/>
      <c r="E105" s="1281"/>
      <c r="F105" s="1281"/>
      <c r="I105" s="524"/>
    </row>
    <row r="106" spans="1:9" ht="14.4">
      <c r="A106" s="518"/>
      <c r="B106" s="518"/>
      <c r="D106" s="1281"/>
      <c r="E106" s="1281"/>
      <c r="F106" s="1281"/>
      <c r="I106" s="524"/>
    </row>
    <row r="107" spans="1:9" ht="14.4">
      <c r="A107" s="518"/>
      <c r="B107" s="518"/>
      <c r="D107" s="1281"/>
      <c r="E107" s="1281"/>
      <c r="F107" s="1281"/>
      <c r="I107" s="524"/>
    </row>
    <row r="108" spans="1:9" ht="14.4">
      <c r="A108" s="518"/>
      <c r="B108" s="518"/>
      <c r="D108" s="1281"/>
      <c r="E108" s="1281"/>
      <c r="F108" s="1281"/>
      <c r="I108" s="524"/>
    </row>
    <row r="109" spans="1:9" ht="14.4">
      <c r="A109" s="518"/>
      <c r="B109" s="518"/>
      <c r="D109" s="1281"/>
      <c r="E109" s="1281"/>
      <c r="F109" s="1281"/>
      <c r="I109" s="524"/>
    </row>
    <row r="110" spans="1:9" ht="14.4">
      <c r="A110" s="518"/>
      <c r="B110" s="518"/>
      <c r="D110" s="1281"/>
      <c r="E110" s="1281"/>
      <c r="F110" s="1281"/>
      <c r="I110" s="524"/>
    </row>
    <row r="111" spans="1:9" ht="14.4">
      <c r="A111" s="518"/>
      <c r="B111" s="518"/>
      <c r="D111" s="1281"/>
      <c r="E111" s="1281"/>
      <c r="F111" s="1281"/>
      <c r="I111" s="524"/>
    </row>
    <row r="112" spans="1:9" ht="14.4">
      <c r="A112" s="518"/>
      <c r="B112" s="518"/>
      <c r="D112" s="1281"/>
      <c r="E112" s="1281"/>
      <c r="F112" s="1281"/>
      <c r="I112" s="524"/>
    </row>
    <row r="113" spans="1:9" ht="14.4">
      <c r="A113" s="518"/>
      <c r="B113" s="518"/>
      <c r="D113" s="1281"/>
      <c r="E113" s="1281"/>
      <c r="F113" s="1281"/>
      <c r="I113" s="524"/>
    </row>
    <row r="114" spans="1:9" ht="14.4">
      <c r="A114" s="518"/>
      <c r="B114" s="518"/>
      <c r="D114" s="1281"/>
      <c r="E114" s="1281"/>
      <c r="F114" s="1281"/>
      <c r="I114" s="524"/>
    </row>
    <row r="115" spans="1:9" ht="14.4">
      <c r="A115" s="518"/>
      <c r="B115" s="518"/>
      <c r="D115" s="1281"/>
      <c r="E115" s="1281"/>
      <c r="F115" s="1281"/>
      <c r="I115" s="524"/>
    </row>
    <row r="116" spans="1:9" ht="14.4">
      <c r="A116" s="518"/>
      <c r="B116" s="518"/>
      <c r="D116" s="1281"/>
      <c r="E116" s="1281"/>
      <c r="F116" s="1281"/>
      <c r="I116" s="524"/>
    </row>
    <row r="117" spans="1:9" ht="14.4">
      <c r="A117" s="518"/>
      <c r="B117" s="518"/>
      <c r="D117" s="1281"/>
      <c r="E117" s="1281"/>
      <c r="F117" s="1281"/>
      <c r="I117" s="524"/>
    </row>
    <row r="118" spans="1:9" ht="14.4">
      <c r="A118" s="518"/>
      <c r="B118" s="518"/>
      <c r="D118" s="558"/>
      <c r="E118" s="558"/>
      <c r="F118" s="558"/>
      <c r="I118" s="524"/>
    </row>
    <row r="119" spans="1:9" ht="14.25" customHeight="1">
      <c r="A119" s="518"/>
      <c r="B119" s="519" t="s">
        <v>2720</v>
      </c>
      <c r="D119" s="1308" t="s">
        <v>1171</v>
      </c>
      <c r="E119" s="1308"/>
      <c r="F119" s="1308"/>
      <c r="I119" s="524"/>
    </row>
    <row r="120" spans="1:9" ht="14.4">
      <c r="A120" s="518"/>
      <c r="B120" s="518"/>
      <c r="D120" s="1308"/>
      <c r="E120" s="1308"/>
      <c r="F120" s="1308"/>
      <c r="I120" s="524"/>
    </row>
    <row r="121" spans="1:9" ht="14.4">
      <c r="A121" s="518"/>
      <c r="B121" s="518"/>
      <c r="D121" s="1308"/>
      <c r="E121" s="1308"/>
      <c r="F121" s="1308"/>
      <c r="I121" s="524"/>
    </row>
    <row r="122" spans="1:9" ht="14.4">
      <c r="A122" s="518"/>
      <c r="B122" s="518"/>
      <c r="D122" s="1308"/>
      <c r="E122" s="1308"/>
      <c r="F122" s="1308"/>
      <c r="I122" s="524"/>
    </row>
    <row r="123" spans="1:9" ht="14.4">
      <c r="A123" s="518"/>
      <c r="B123" s="518"/>
      <c r="D123" s="1308"/>
      <c r="E123" s="1308"/>
      <c r="F123" s="1308"/>
      <c r="I123" s="524"/>
    </row>
    <row r="124" spans="1:9" ht="14.4">
      <c r="A124" s="518"/>
      <c r="B124" s="518"/>
      <c r="D124" s="1308"/>
      <c r="E124" s="1308"/>
      <c r="F124" s="1308"/>
      <c r="I124" s="524"/>
    </row>
    <row r="125" spans="1:9" ht="14.4">
      <c r="A125" s="518"/>
      <c r="B125" s="518"/>
      <c r="D125" s="1308"/>
      <c r="E125" s="1308"/>
      <c r="F125" s="1308"/>
      <c r="I125" s="524"/>
    </row>
    <row r="126" spans="1:9" ht="14.4">
      <c r="A126" s="518"/>
      <c r="B126" s="518"/>
      <c r="D126" s="1308"/>
      <c r="E126" s="1308"/>
      <c r="F126" s="1308"/>
      <c r="I126" s="524"/>
    </row>
    <row r="127" spans="1:9">
      <c r="C127" s="433"/>
      <c r="D127" s="559"/>
      <c r="E127" s="559"/>
      <c r="F127" s="559"/>
      <c r="I127" s="524"/>
    </row>
    <row r="128" spans="1:9" ht="14.4">
      <c r="A128" s="518"/>
      <c r="B128" s="519" t="s">
        <v>2719</v>
      </c>
      <c r="C128" s="433"/>
      <c r="D128" s="1308" t="s">
        <v>2361</v>
      </c>
      <c r="E128" s="1308"/>
      <c r="F128" s="1308"/>
      <c r="I128" s="524" t="s">
        <v>2080</v>
      </c>
    </row>
    <row r="129" spans="1:9" ht="14.4">
      <c r="A129" s="518"/>
      <c r="B129" s="518"/>
      <c r="C129" s="433"/>
      <c r="D129" s="1308"/>
      <c r="E129" s="1308"/>
      <c r="F129" s="1308"/>
      <c r="I129" s="524"/>
    </row>
    <row r="130" spans="1:9">
      <c r="I130" s="524"/>
    </row>
    <row r="131" spans="1:9" ht="14.4">
      <c r="A131" s="518"/>
      <c r="B131" s="519" t="s">
        <v>2719</v>
      </c>
      <c r="D131" s="1281" t="s">
        <v>1174</v>
      </c>
      <c r="E131" s="1281"/>
      <c r="F131" s="1281"/>
      <c r="I131" s="524" t="s">
        <v>2080</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4">
      <c r="A137" s="518"/>
      <c r="B137" s="519" t="s">
        <v>2719</v>
      </c>
      <c r="D137" s="1281" t="s">
        <v>1175</v>
      </c>
      <c r="E137" s="1281"/>
      <c r="F137" s="1281"/>
      <c r="I137" s="524" t="s">
        <v>2081</v>
      </c>
    </row>
    <row r="138" spans="1:9" s="448" customFormat="1" ht="13.65" customHeight="1">
      <c r="A138" s="522"/>
      <c r="B138" s="522"/>
      <c r="C138" s="522"/>
      <c r="D138" s="1281"/>
      <c r="E138" s="1281"/>
      <c r="F138" s="1281"/>
      <c r="I138" s="1261"/>
    </row>
    <row r="139" spans="1:9" ht="13.65" customHeight="1">
      <c r="D139" s="1281"/>
      <c r="E139" s="1281"/>
      <c r="F139" s="1281"/>
      <c r="I139" s="524"/>
    </row>
    <row r="140" spans="1:9" ht="13.65" customHeight="1">
      <c r="D140" s="1281"/>
      <c r="E140" s="1281"/>
      <c r="F140" s="1281"/>
      <c r="I140" s="524"/>
    </row>
    <row r="141" spans="1:9" ht="13.65" customHeight="1">
      <c r="D141" s="1281"/>
      <c r="E141" s="1281"/>
      <c r="F141" s="1281"/>
      <c r="I141" s="524"/>
    </row>
    <row r="142" spans="1:9" ht="13.65" customHeight="1">
      <c r="A142" s="523"/>
      <c r="B142" s="523"/>
      <c r="D142" s="1281"/>
      <c r="E142" s="1281"/>
      <c r="F142" s="1281"/>
      <c r="I142" s="524"/>
    </row>
    <row r="143" spans="1:9" ht="13.65" customHeight="1">
      <c r="D143" s="1281"/>
      <c r="E143" s="1281"/>
      <c r="F143" s="1281"/>
      <c r="I143" s="524"/>
    </row>
    <row r="144" spans="1:9" ht="13.65" customHeight="1">
      <c r="D144" s="1281"/>
      <c r="E144" s="1281"/>
      <c r="F144" s="1281"/>
      <c r="I144" s="524"/>
    </row>
    <row r="145" spans="2:9" ht="13.65" customHeight="1">
      <c r="D145" s="1281"/>
      <c r="E145" s="1281"/>
      <c r="F145" s="1281"/>
      <c r="I145" s="524"/>
    </row>
    <row r="146" spans="2:9" ht="13.65" customHeight="1">
      <c r="D146" s="1281"/>
      <c r="E146" s="1281"/>
      <c r="F146" s="1281"/>
      <c r="I146" s="524"/>
    </row>
    <row r="147" spans="2:9" ht="13.65" customHeight="1">
      <c r="D147" s="1281"/>
      <c r="E147" s="1281"/>
      <c r="F147" s="1281"/>
      <c r="I147" s="524"/>
    </row>
    <row r="148" spans="2:9" ht="13.65" customHeight="1">
      <c r="D148" s="1281"/>
      <c r="E148" s="1281"/>
      <c r="F148" s="1281"/>
      <c r="I148" s="524"/>
    </row>
    <row r="149" spans="2:9" ht="13.65" customHeight="1">
      <c r="D149" s="1281"/>
      <c r="E149" s="1281"/>
      <c r="F149" s="1281"/>
      <c r="I149" s="524"/>
    </row>
    <row r="150" spans="2:9" ht="13.65" customHeight="1">
      <c r="D150" s="510"/>
      <c r="E150" s="480"/>
      <c r="F150" s="480"/>
      <c r="I150" s="524"/>
    </row>
    <row r="151" spans="2:9" ht="13.65" customHeight="1">
      <c r="B151" s="519" t="s">
        <v>2720</v>
      </c>
      <c r="D151" s="1281" t="s">
        <v>1283</v>
      </c>
      <c r="E151" s="1281"/>
      <c r="F151" s="1281"/>
      <c r="I151" s="524" t="s">
        <v>2082</v>
      </c>
    </row>
    <row r="152" spans="2:9" ht="13.65" customHeight="1">
      <c r="D152" s="1281"/>
      <c r="E152" s="1281"/>
      <c r="F152" s="1281"/>
      <c r="I152" s="524"/>
    </row>
    <row r="153" spans="2:9" ht="13.65" customHeight="1">
      <c r="D153" s="1281"/>
      <c r="E153" s="1281"/>
      <c r="F153" s="1281"/>
      <c r="I153" s="524"/>
    </row>
    <row r="154" spans="2:9" ht="13.65" customHeight="1">
      <c r="D154" s="1281"/>
      <c r="E154" s="1281"/>
      <c r="F154" s="1281"/>
      <c r="I154" s="524"/>
    </row>
    <row r="155" spans="2:9" ht="13.65" customHeight="1">
      <c r="D155" s="1281"/>
      <c r="E155" s="1281"/>
      <c r="F155" s="1281"/>
      <c r="I155" s="524"/>
    </row>
    <row r="156" spans="2:9" ht="13.65" customHeight="1">
      <c r="D156" s="1281"/>
      <c r="E156" s="1281"/>
      <c r="F156" s="1281"/>
      <c r="I156" s="524"/>
    </row>
    <row r="157" spans="2:9" ht="13.65" customHeight="1">
      <c r="D157" s="1281"/>
      <c r="E157" s="1281"/>
      <c r="F157" s="1281"/>
      <c r="I157" s="524"/>
    </row>
    <row r="158" spans="2:9" ht="13.65" customHeight="1">
      <c r="D158" s="1281"/>
      <c r="E158" s="1281"/>
      <c r="F158" s="1281"/>
      <c r="I158" s="524"/>
    </row>
    <row r="159" spans="2:9" ht="13.65" customHeight="1">
      <c r="D159" s="1281"/>
      <c r="E159" s="1281"/>
      <c r="F159" s="1281"/>
      <c r="I159" s="524"/>
    </row>
    <row r="160" spans="2:9" ht="13.65" customHeight="1">
      <c r="D160" s="1281"/>
      <c r="E160" s="1281"/>
      <c r="F160" s="1281"/>
      <c r="I160" s="524"/>
    </row>
    <row r="161" spans="1:9" ht="13.65" customHeight="1">
      <c r="D161" s="1281"/>
      <c r="E161" s="1281"/>
      <c r="F161" s="1281"/>
      <c r="I161" s="524"/>
    </row>
    <row r="162" spans="1:9" ht="13.65" customHeight="1">
      <c r="D162" s="1281"/>
      <c r="E162" s="1281"/>
      <c r="F162" s="1281"/>
      <c r="I162" s="524"/>
    </row>
    <row r="163" spans="1:9" ht="13.65" customHeight="1">
      <c r="D163" s="1281"/>
      <c r="E163" s="1281"/>
      <c r="F163" s="1281"/>
      <c r="I163" s="524"/>
    </row>
    <row r="164" spans="1:9" ht="13.65" customHeight="1">
      <c r="D164" s="1281"/>
      <c r="E164" s="1281"/>
      <c r="F164" s="1281"/>
      <c r="I164" s="524"/>
    </row>
    <row r="165" spans="1:9" ht="13.65" customHeight="1">
      <c r="D165" s="1281"/>
      <c r="E165" s="1281"/>
      <c r="F165" s="1281"/>
      <c r="I165" s="524"/>
    </row>
    <row r="166" spans="1:9" ht="13.65" customHeight="1">
      <c r="D166" s="1281"/>
      <c r="E166" s="1281"/>
      <c r="F166" s="1281"/>
      <c r="I166" s="524"/>
    </row>
    <row r="167" spans="1:9" ht="13.65" customHeight="1">
      <c r="D167" s="1281"/>
      <c r="E167" s="1281"/>
      <c r="F167" s="1281"/>
      <c r="I167" s="524"/>
    </row>
    <row r="168" spans="1:9" ht="13.65" customHeight="1">
      <c r="D168" s="1281"/>
      <c r="E168" s="1281"/>
      <c r="F168" s="1281"/>
      <c r="I168" s="524"/>
    </row>
    <row r="169" spans="1:9" ht="13.65" customHeight="1">
      <c r="D169" s="1339" t="s">
        <v>2385</v>
      </c>
      <c r="E169" s="1339"/>
      <c r="F169" s="1339"/>
      <c r="G169" s="541"/>
      <c r="I169" s="524"/>
    </row>
    <row r="170" spans="1:9" ht="13.65" customHeight="1">
      <c r="D170" s="1314"/>
      <c r="E170" s="1314"/>
      <c r="F170" s="1314"/>
      <c r="G170" s="1314"/>
      <c r="I170" s="524"/>
    </row>
    <row r="171" spans="1:9" ht="14.4" customHeight="1">
      <c r="A171" s="523"/>
      <c r="B171" s="519" t="s">
        <v>2720</v>
      </c>
      <c r="C171" s="510"/>
      <c r="D171" s="1269" t="s">
        <v>2575</v>
      </c>
      <c r="E171" s="1269"/>
      <c r="F171" s="1269"/>
      <c r="G171" s="510"/>
      <c r="I171" s="524" t="s">
        <v>2077</v>
      </c>
    </row>
    <row r="172" spans="1:9" ht="14.4" customHeight="1">
      <c r="A172" s="523"/>
      <c r="B172" s="523"/>
      <c r="C172" s="510"/>
      <c r="D172" s="1269"/>
      <c r="E172" s="1269"/>
      <c r="F172" s="1269"/>
      <c r="G172" s="510"/>
      <c r="I172" s="524"/>
    </row>
    <row r="173" spans="1:9" ht="14.4" customHeight="1">
      <c r="A173" s="523"/>
      <c r="B173" s="523"/>
      <c r="C173" s="510"/>
      <c r="D173" s="1269"/>
      <c r="E173" s="1269"/>
      <c r="F173" s="1269"/>
      <c r="G173" s="510"/>
      <c r="I173" s="524"/>
    </row>
    <row r="174" spans="1:9" ht="14.4" customHeight="1">
      <c r="A174" s="523"/>
      <c r="B174" s="523"/>
      <c r="C174" s="510"/>
      <c r="D174" s="1269"/>
      <c r="E174" s="1269"/>
      <c r="F174" s="1269"/>
      <c r="G174" s="510"/>
      <c r="I174" s="524"/>
    </row>
    <row r="175" spans="1:9" ht="13.65" customHeight="1">
      <c r="A175" s="523"/>
      <c r="B175" s="523"/>
      <c r="C175" s="510"/>
      <c r="D175" s="1269"/>
      <c r="E175" s="1269"/>
      <c r="F175" s="1269"/>
      <c r="G175" s="510"/>
      <c r="I175" s="524"/>
    </row>
    <row r="176" spans="1:9" ht="13.65" customHeight="1">
      <c r="A176" s="523"/>
      <c r="B176" s="523"/>
      <c r="C176" s="510"/>
      <c r="D176" s="510"/>
      <c r="E176" s="510"/>
      <c r="F176" s="510"/>
      <c r="G176" s="510"/>
      <c r="I176" s="524"/>
    </row>
    <row r="177" spans="1:9" ht="13.65" customHeight="1">
      <c r="A177" s="523"/>
      <c r="B177" s="519" t="s">
        <v>2720</v>
      </c>
      <c r="C177" s="510"/>
      <c r="D177" s="1269" t="s">
        <v>1177</v>
      </c>
      <c r="E177" s="1269"/>
      <c r="F177" s="1269"/>
      <c r="G177" s="510"/>
      <c r="I177" s="524" t="s">
        <v>2083</v>
      </c>
    </row>
    <row r="178" spans="1:9" ht="13.65" customHeight="1">
      <c r="A178" s="523"/>
      <c r="B178" s="523"/>
      <c r="C178" s="510"/>
      <c r="D178" s="1269"/>
      <c r="E178" s="1269"/>
      <c r="F178" s="1269"/>
      <c r="G178" s="510"/>
      <c r="I178" s="524"/>
    </row>
    <row r="179" spans="1:9" ht="13.65" customHeight="1">
      <c r="A179" s="523"/>
      <c r="B179" s="523"/>
      <c r="C179" s="510"/>
      <c r="D179" s="1269"/>
      <c r="E179" s="1269"/>
      <c r="F179" s="1269"/>
      <c r="G179" s="510"/>
      <c r="I179" s="524"/>
    </row>
    <row r="180" spans="1:9" ht="13.65" customHeight="1">
      <c r="A180" s="523"/>
      <c r="B180" s="523"/>
      <c r="C180" s="510"/>
      <c r="D180" s="1269"/>
      <c r="E180" s="1269"/>
      <c r="F180" s="1269"/>
      <c r="G180" s="510"/>
      <c r="I180" s="524"/>
    </row>
    <row r="181" spans="1:9" ht="13.65" customHeight="1">
      <c r="D181" s="480"/>
      <c r="E181" s="480"/>
      <c r="F181" s="480"/>
      <c r="I181" s="524"/>
    </row>
    <row r="182" spans="1:9" ht="13.65" customHeight="1">
      <c r="B182" s="519" t="s">
        <v>2720</v>
      </c>
      <c r="D182" s="1303" t="s">
        <v>2362</v>
      </c>
      <c r="E182" s="1303"/>
      <c r="F182" s="1303"/>
      <c r="I182" s="524" t="s">
        <v>2084</v>
      </c>
    </row>
    <row r="183" spans="1:9" ht="13.65" customHeight="1">
      <c r="D183" s="1303"/>
      <c r="E183" s="1303"/>
      <c r="F183" s="1303"/>
      <c r="I183" s="524"/>
    </row>
    <row r="184" spans="1:9" ht="13.65" customHeight="1">
      <c r="D184" s="1303"/>
      <c r="E184" s="1303"/>
      <c r="F184" s="1303"/>
      <c r="I184" s="524"/>
    </row>
    <row r="185" spans="1:9" ht="13.65" customHeight="1">
      <c r="A185" s="524"/>
      <c r="B185" s="524"/>
      <c r="E185" s="480"/>
      <c r="F185" s="480"/>
      <c r="I185" s="524"/>
    </row>
    <row r="186" spans="1:9">
      <c r="A186" s="1287" t="s">
        <v>2363</v>
      </c>
      <c r="B186" s="1287"/>
      <c r="C186" s="1287"/>
      <c r="D186" s="1287"/>
      <c r="E186" s="1287"/>
      <c r="F186" s="1287"/>
      <c r="G186" s="1287"/>
      <c r="H186" s="1063"/>
      <c r="I186" s="1259"/>
    </row>
    <row r="187" spans="1:9" ht="12" customHeight="1">
      <c r="D187" s="480"/>
      <c r="E187" s="480"/>
      <c r="F187" s="480"/>
      <c r="I187" s="524"/>
    </row>
    <row r="188" spans="1:9">
      <c r="B188" s="1296" t="s">
        <v>448</v>
      </c>
      <c r="C188" s="1296"/>
      <c r="D188" s="1296"/>
      <c r="E188" s="1296"/>
      <c r="F188" s="1296"/>
      <c r="I188" s="524"/>
    </row>
    <row r="189" spans="1:9">
      <c r="B189" s="423" t="s">
        <v>2063</v>
      </c>
      <c r="C189" s="423"/>
      <c r="D189" s="423"/>
      <c r="E189" s="423"/>
      <c r="F189" s="423"/>
      <c r="I189" s="524"/>
    </row>
    <row r="190" spans="1:9" ht="12" customHeight="1">
      <c r="A190" s="516"/>
      <c r="B190" s="516"/>
      <c r="C190" s="516"/>
      <c r="I190" s="524"/>
    </row>
    <row r="191" spans="1:9">
      <c r="A191" s="1287" t="s">
        <v>1073</v>
      </c>
      <c r="B191" s="1287"/>
      <c r="C191" s="1287"/>
      <c r="D191" s="1287"/>
      <c r="E191" s="1287"/>
      <c r="F191" s="1287"/>
      <c r="G191" s="1287"/>
      <c r="H191" s="1063"/>
      <c r="I191" s="1259"/>
    </row>
    <row r="192" spans="1:9" ht="12" customHeight="1">
      <c r="A192" s="435"/>
      <c r="B192" s="435"/>
      <c r="E192" s="435"/>
      <c r="I192" s="524"/>
    </row>
    <row r="193" spans="1:9" ht="13.65" customHeight="1">
      <c r="A193" s="435"/>
      <c r="B193" s="435"/>
      <c r="D193" s="1309" t="s">
        <v>1933</v>
      </c>
      <c r="E193" s="1309"/>
      <c r="F193" s="1309"/>
      <c r="I193" s="524"/>
    </row>
    <row r="194" spans="1:9">
      <c r="A194" s="435"/>
      <c r="B194" s="435"/>
      <c r="D194" s="1309"/>
      <c r="E194" s="1309"/>
      <c r="F194" s="1309"/>
      <c r="I194" s="524"/>
    </row>
    <row r="195" spans="1:9">
      <c r="A195" s="435"/>
      <c r="B195" s="435"/>
      <c r="D195" s="1296" t="s">
        <v>1301</v>
      </c>
      <c r="E195" s="1296"/>
      <c r="F195" s="1296"/>
      <c r="I195" s="524"/>
    </row>
    <row r="196" spans="1:9">
      <c r="A196" s="435"/>
      <c r="B196" s="435"/>
      <c r="D196" s="423"/>
      <c r="E196" s="423"/>
      <c r="F196" s="423"/>
      <c r="I196" s="524"/>
    </row>
    <row r="197" spans="1:9">
      <c r="A197" s="435"/>
      <c r="B197" s="519" t="s">
        <v>2719</v>
      </c>
      <c r="D197" s="1286" t="s">
        <v>1934</v>
      </c>
      <c r="E197" s="1286"/>
      <c r="F197" s="1286"/>
      <c r="I197" s="524" t="s">
        <v>2133</v>
      </c>
    </row>
    <row r="198" spans="1:9">
      <c r="A198" s="435"/>
      <c r="B198" s="435"/>
      <c r="D198" s="1290" t="s">
        <v>2199</v>
      </c>
      <c r="E198" s="1290"/>
      <c r="F198" s="1290"/>
      <c r="I198" s="524"/>
    </row>
    <row r="199" spans="1:9">
      <c r="A199" s="435"/>
      <c r="B199" s="435"/>
      <c r="D199" s="96" t="s">
        <v>1935</v>
      </c>
      <c r="E199" s="1338" t="s">
        <v>2222</v>
      </c>
      <c r="F199" s="1338"/>
      <c r="I199" s="524"/>
    </row>
    <row r="200" spans="1:9">
      <c r="A200" s="435"/>
      <c r="B200" s="435"/>
      <c r="D200" s="3"/>
      <c r="E200" s="3"/>
      <c r="F200" s="3"/>
      <c r="I200" s="524"/>
    </row>
    <row r="201" spans="1:9">
      <c r="A201" s="435"/>
      <c r="B201" s="519" t="s">
        <v>2720</v>
      </c>
      <c r="D201" s="1290" t="s">
        <v>1936</v>
      </c>
      <c r="E201" s="1290"/>
      <c r="F201" s="1290"/>
      <c r="I201" s="524" t="s">
        <v>2134</v>
      </c>
    </row>
    <row r="202" spans="1:9">
      <c r="A202" s="435"/>
      <c r="B202" s="435"/>
      <c r="D202" s="1286" t="s">
        <v>2199</v>
      </c>
      <c r="E202" s="1286"/>
      <c r="F202" s="1286"/>
      <c r="I202" s="524"/>
    </row>
    <row r="203" spans="1:9">
      <c r="A203" s="435"/>
      <c r="B203" s="435"/>
      <c r="D203" s="57" t="s">
        <v>1937</v>
      </c>
      <c r="E203" s="1338" t="s">
        <v>2223</v>
      </c>
      <c r="F203" s="1338"/>
      <c r="I203" s="524"/>
    </row>
    <row r="204" spans="1:9">
      <c r="A204" s="435"/>
      <c r="B204" s="435"/>
      <c r="D204" s="3"/>
      <c r="E204" s="3"/>
      <c r="F204" s="3"/>
      <c r="I204" s="524"/>
    </row>
    <row r="205" spans="1:9">
      <c r="A205" s="435"/>
      <c r="B205" s="519" t="s">
        <v>2720</v>
      </c>
      <c r="D205" s="1290" t="s">
        <v>1938</v>
      </c>
      <c r="E205" s="1290"/>
      <c r="F205" s="1290"/>
      <c r="I205" s="524" t="s">
        <v>2135</v>
      </c>
    </row>
    <row r="206" spans="1:9">
      <c r="A206" s="435"/>
      <c r="B206" s="435"/>
      <c r="D206" s="1286" t="s">
        <v>2199</v>
      </c>
      <c r="E206" s="1286"/>
      <c r="F206" s="1286"/>
      <c r="I206" s="524"/>
    </row>
    <row r="207" spans="1:9">
      <c r="A207" s="435"/>
      <c r="B207" s="435"/>
      <c r="D207" s="57" t="s">
        <v>1935</v>
      </c>
      <c r="E207" s="1338" t="s">
        <v>2224</v>
      </c>
      <c r="F207" s="1338"/>
      <c r="I207" s="524"/>
    </row>
    <row r="208" spans="1:9">
      <c r="A208" s="435"/>
      <c r="B208" s="435"/>
      <c r="D208" s="423"/>
      <c r="E208" s="423"/>
      <c r="F208" s="423"/>
      <c r="I208" s="524"/>
    </row>
    <row r="209" spans="1:9" ht="14.25" customHeight="1">
      <c r="A209" s="518"/>
      <c r="B209" s="519" t="s">
        <v>2720</v>
      </c>
      <c r="D209" s="417" t="s">
        <v>2192</v>
      </c>
      <c r="E209" s="416"/>
      <c r="F209" s="416"/>
      <c r="I209" s="524" t="s">
        <v>2136</v>
      </c>
    </row>
    <row r="210" spans="1:9" ht="14.4">
      <c r="A210" s="518"/>
      <c r="B210" s="518"/>
      <c r="D210" s="1286" t="s">
        <v>2199</v>
      </c>
      <c r="E210" s="1286"/>
      <c r="F210" s="1286"/>
      <c r="I210" s="524"/>
    </row>
    <row r="211" spans="1:9">
      <c r="D211" s="416"/>
      <c r="E211" s="1338" t="s">
        <v>2225</v>
      </c>
      <c r="F211" s="1338"/>
      <c r="I211" s="524"/>
    </row>
    <row r="212" spans="1:9">
      <c r="D212" s="481"/>
      <c r="I212" s="524"/>
    </row>
    <row r="213" spans="1:9">
      <c r="B213" s="519" t="s">
        <v>2720</v>
      </c>
      <c r="D213" s="1290" t="s">
        <v>1939</v>
      </c>
      <c r="E213" s="1290"/>
      <c r="F213" s="1290"/>
      <c r="I213" s="524" t="s">
        <v>2137</v>
      </c>
    </row>
    <row r="214" spans="1:9">
      <c r="D214" s="1286" t="s">
        <v>2199</v>
      </c>
      <c r="E214" s="1286"/>
      <c r="F214" s="1286"/>
      <c r="I214" s="524"/>
    </row>
    <row r="215" spans="1:9">
      <c r="D215" s="57" t="s">
        <v>1935</v>
      </c>
      <c r="E215" s="1338" t="s">
        <v>2226</v>
      </c>
      <c r="F215" s="1338"/>
      <c r="I215" s="524"/>
    </row>
    <row r="216" spans="1:9">
      <c r="D216" s="485"/>
      <c r="E216" s="485"/>
      <c r="F216" s="485"/>
      <c r="I216" s="524"/>
    </row>
    <row r="217" spans="1:9" ht="14.4">
      <c r="A217" s="518"/>
      <c r="B217" s="519" t="s">
        <v>2720</v>
      </c>
      <c r="D217" s="1281" t="s">
        <v>1322</v>
      </c>
      <c r="E217" s="1281"/>
      <c r="F217" s="1281"/>
      <c r="I217" s="524"/>
    </row>
    <row r="218" spans="1:9" ht="14.4" customHeight="1">
      <c r="A218" s="518"/>
      <c r="B218" s="433"/>
      <c r="D218" s="1281"/>
      <c r="E218" s="1281"/>
      <c r="F218" s="1281"/>
      <c r="I218" s="524"/>
    </row>
    <row r="219" spans="1:9" ht="14.4">
      <c r="A219" s="518"/>
      <c r="D219" s="1281"/>
      <c r="E219" s="1281"/>
      <c r="F219" s="1281"/>
      <c r="I219" s="524"/>
    </row>
    <row r="220" spans="1:9" ht="14.4">
      <c r="A220" s="518"/>
      <c r="D220" s="1281"/>
      <c r="E220" s="1281"/>
      <c r="F220" s="1281"/>
      <c r="I220" s="524"/>
    </row>
    <row r="221" spans="1:9">
      <c r="D221" s="485"/>
      <c r="E221" s="485"/>
      <c r="F221" s="485"/>
      <c r="I221" s="524"/>
    </row>
    <row r="222" spans="1:9">
      <c r="A222" s="1287" t="s">
        <v>1074</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1203</v>
      </c>
      <c r="E225" s="1310"/>
      <c r="F225" s="1310"/>
      <c r="I225" s="524"/>
    </row>
    <row r="226" spans="1:9" ht="12" customHeight="1">
      <c r="A226" s="524"/>
      <c r="B226" s="524"/>
      <c r="C226" s="524"/>
      <c r="I226" s="524"/>
    </row>
    <row r="227" spans="1:9" ht="13.65" customHeight="1">
      <c r="A227" s="524"/>
      <c r="C227" s="524"/>
      <c r="D227" s="1279" t="s">
        <v>554</v>
      </c>
      <c r="E227" s="1279"/>
      <c r="F227" s="1279"/>
      <c r="I227" s="524" t="s">
        <v>2085</v>
      </c>
    </row>
    <row r="228" spans="1:9" ht="14.4">
      <c r="A228" s="518"/>
      <c r="B228" s="519" t="s">
        <v>2719</v>
      </c>
      <c r="D228" s="1281" t="s">
        <v>1940</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4">
      <c r="A231" s="518"/>
      <c r="B231" s="518"/>
      <c r="D231" s="1281"/>
      <c r="E231" s="1281"/>
      <c r="F231" s="1281"/>
      <c r="I231" s="524"/>
    </row>
    <row r="232" spans="1:9" ht="14.4">
      <c r="A232" s="518"/>
      <c r="B232" s="518"/>
      <c r="D232" s="479"/>
      <c r="E232" s="479"/>
      <c r="F232" s="479"/>
      <c r="I232" s="524"/>
    </row>
    <row r="233" spans="1:9" ht="14.4">
      <c r="A233" s="518"/>
      <c r="B233" s="519" t="s">
        <v>2719</v>
      </c>
      <c r="D233" s="1281" t="s">
        <v>1941</v>
      </c>
      <c r="E233" s="1281"/>
      <c r="F233" s="1281"/>
      <c r="I233" s="524" t="s">
        <v>2086</v>
      </c>
    </row>
    <row r="234" spans="1:9" ht="14.4">
      <c r="A234" s="518"/>
      <c r="B234" s="518"/>
      <c r="D234" s="1281"/>
      <c r="E234" s="1281"/>
      <c r="F234" s="1281"/>
      <c r="I234" s="524"/>
    </row>
    <row r="235" spans="1:9" ht="14.4">
      <c r="A235" s="518"/>
      <c r="B235" s="518"/>
      <c r="D235" s="1281"/>
      <c r="E235" s="1281"/>
      <c r="F235" s="1281"/>
      <c r="I235" s="524"/>
    </row>
    <row r="236" spans="1:9" ht="14.4">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4">
      <c r="A239" s="518"/>
      <c r="B239" s="518"/>
      <c r="D239" s="1281" t="s">
        <v>1199</v>
      </c>
      <c r="E239" s="1281"/>
      <c r="F239" s="1281"/>
      <c r="I239" s="524" t="s">
        <v>2085</v>
      </c>
    </row>
    <row r="240" spans="1:9" ht="14.4">
      <c r="A240" s="518"/>
      <c r="B240" s="518"/>
      <c r="D240" s="1281"/>
      <c r="E240" s="1281"/>
      <c r="F240" s="1281"/>
      <c r="I240" s="524"/>
    </row>
    <row r="241" spans="1:9" ht="14.4">
      <c r="A241" s="518"/>
      <c r="B241" s="518"/>
      <c r="D241" s="1281"/>
      <c r="E241" s="1281"/>
      <c r="F241" s="1281"/>
      <c r="I241" s="524"/>
    </row>
    <row r="242" spans="1:9" ht="14.4">
      <c r="A242" s="518"/>
      <c r="B242" s="518"/>
      <c r="D242" s="1281"/>
      <c r="E242" s="1281"/>
      <c r="F242" s="1281"/>
      <c r="I242" s="524"/>
    </row>
    <row r="243" spans="1:9" ht="14.4">
      <c r="A243" s="518"/>
      <c r="B243" s="518"/>
      <c r="D243" s="1281"/>
      <c r="E243" s="1281"/>
      <c r="F243" s="1281"/>
      <c r="I243" s="524"/>
    </row>
    <row r="244" spans="1:9" ht="14.4">
      <c r="A244" s="518"/>
      <c r="B244" s="518"/>
      <c r="D244" s="480"/>
      <c r="E244" s="480"/>
      <c r="F244" s="480"/>
      <c r="I244" s="524"/>
    </row>
    <row r="245" spans="1:9" ht="14.4">
      <c r="A245" s="518"/>
      <c r="B245" s="519" t="s">
        <v>2719</v>
      </c>
      <c r="D245" s="1281" t="s">
        <v>2364</v>
      </c>
      <c r="E245" s="1281"/>
      <c r="F245" s="1281"/>
      <c r="I245" s="524" t="s">
        <v>2124</v>
      </c>
    </row>
    <row r="246" spans="1:9" ht="14.4">
      <c r="A246" s="518"/>
      <c r="B246" s="518"/>
      <c r="D246" s="1281"/>
      <c r="E246" s="1281"/>
      <c r="F246" s="1281"/>
      <c r="I246" s="524"/>
    </row>
    <row r="247" spans="1:9" ht="14.4">
      <c r="A247" s="518"/>
      <c r="B247" s="518"/>
      <c r="D247" s="1281"/>
      <c r="E247" s="1281"/>
      <c r="F247" s="1281"/>
      <c r="I247" s="524"/>
    </row>
    <row r="248" spans="1:9" ht="14.4">
      <c r="A248" s="518"/>
      <c r="B248" s="518"/>
      <c r="E248" s="1071" t="s">
        <v>2193</v>
      </c>
      <c r="I248" s="524"/>
    </row>
    <row r="249" spans="1:9" ht="14.4">
      <c r="A249" s="518"/>
      <c r="B249" s="518"/>
      <c r="D249" s="480"/>
      <c r="E249" s="480"/>
      <c r="F249" s="480"/>
      <c r="I249" s="524"/>
    </row>
    <row r="250" spans="1:9" ht="14.4" customHeight="1">
      <c r="A250" s="518"/>
      <c r="B250" s="519" t="s">
        <v>2720</v>
      </c>
      <c r="D250" s="1281" t="s">
        <v>2365</v>
      </c>
      <c r="E250" s="1281"/>
      <c r="F250" s="1281"/>
      <c r="I250" s="524" t="s">
        <v>2142</v>
      </c>
    </row>
    <row r="251" spans="1:9" ht="14.4">
      <c r="A251" s="518"/>
      <c r="B251" s="518"/>
      <c r="D251" s="1281"/>
      <c r="E251" s="1281"/>
      <c r="F251" s="1281"/>
      <c r="I251" s="524"/>
    </row>
    <row r="252" spans="1:9" ht="14.4">
      <c r="A252" s="518"/>
      <c r="B252" s="518"/>
      <c r="D252" s="1281"/>
      <c r="E252" s="1281"/>
      <c r="F252" s="1281"/>
      <c r="I252" s="524"/>
    </row>
    <row r="253" spans="1:9" ht="14.4">
      <c r="A253" s="518"/>
      <c r="B253" s="518"/>
      <c r="D253" s="1281"/>
      <c r="E253" s="1281"/>
      <c r="F253" s="1281"/>
      <c r="I253" s="524"/>
    </row>
    <row r="254" spans="1:9" ht="14.4">
      <c r="A254" s="518"/>
      <c r="B254" s="518"/>
      <c r="D254" s="1281"/>
      <c r="E254" s="1281"/>
      <c r="F254" s="1281"/>
      <c r="I254" s="524"/>
    </row>
    <row r="255" spans="1:9" ht="14.4">
      <c r="A255" s="518"/>
      <c r="B255" s="518"/>
      <c r="D255" s="479"/>
      <c r="E255" s="479"/>
      <c r="F255" s="479"/>
      <c r="I255" s="524"/>
    </row>
    <row r="256" spans="1:9" ht="14.4">
      <c r="A256" s="518"/>
      <c r="B256" s="519" t="s">
        <v>2719</v>
      </c>
      <c r="D256" s="423" t="s">
        <v>2366</v>
      </c>
      <c r="E256" s="479"/>
      <c r="F256" s="479"/>
      <c r="I256" s="524" t="s">
        <v>2123</v>
      </c>
    </row>
    <row r="257" spans="1:9" ht="14.4">
      <c r="A257" s="518"/>
      <c r="B257" s="518"/>
      <c r="E257" s="1071" t="s">
        <v>2194</v>
      </c>
      <c r="I257" s="524"/>
    </row>
    <row r="258" spans="1:9">
      <c r="D258" s="480"/>
      <c r="E258" s="480"/>
      <c r="F258" s="480"/>
      <c r="I258" s="524"/>
    </row>
    <row r="259" spans="1:9" ht="14.4">
      <c r="A259" s="518"/>
      <c r="B259" s="519" t="s">
        <v>2719</v>
      </c>
      <c r="D259" s="1281" t="s">
        <v>1201</v>
      </c>
      <c r="E259" s="1281"/>
      <c r="F259" s="1281"/>
      <c r="I259" s="524"/>
    </row>
    <row r="260" spans="1:9" ht="14.4">
      <c r="A260" s="518"/>
      <c r="B260" s="518"/>
      <c r="D260" s="1281"/>
      <c r="E260" s="1281"/>
      <c r="F260" s="1281"/>
      <c r="I260" s="524"/>
    </row>
    <row r="261" spans="1:9">
      <c r="D261" s="525"/>
      <c r="I261" s="524"/>
    </row>
    <row r="262" spans="1:9">
      <c r="A262" s="1287" t="s">
        <v>1075</v>
      </c>
      <c r="B262" s="1287"/>
      <c r="C262" s="1287"/>
      <c r="D262" s="1287"/>
      <c r="E262" s="1287"/>
      <c r="F262" s="1287"/>
      <c r="G262" s="1287"/>
      <c r="H262" s="1063"/>
      <c r="I262" s="1259"/>
    </row>
    <row r="263" spans="1:9">
      <c r="D263" s="525"/>
      <c r="I263" s="524"/>
    </row>
    <row r="264" spans="1:9">
      <c r="C264" s="520"/>
      <c r="D264" s="1279" t="s">
        <v>1204</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2125</v>
      </c>
    </row>
    <row r="267" spans="1:9" ht="14.4" customHeight="1">
      <c r="A267" s="518"/>
      <c r="B267" s="519" t="s">
        <v>2719</v>
      </c>
      <c r="D267" s="1281" t="s">
        <v>1302</v>
      </c>
      <c r="E267" s="1281"/>
      <c r="F267" s="1281"/>
      <c r="I267" s="524"/>
    </row>
    <row r="268" spans="1:9">
      <c r="D268" s="1281"/>
      <c r="E268" s="1281"/>
      <c r="F268" s="1281"/>
      <c r="I268" s="524"/>
    </row>
    <row r="269" spans="1:9">
      <c r="E269" s="1071" t="s">
        <v>2195</v>
      </c>
      <c r="I269" s="524"/>
    </row>
    <row r="270" spans="1:9">
      <c r="D270" s="480"/>
      <c r="E270" s="480"/>
      <c r="F270" s="480"/>
      <c r="I270" s="524"/>
    </row>
    <row r="271" spans="1:9" ht="14.4" customHeight="1">
      <c r="A271" s="518"/>
      <c r="B271" s="519" t="s">
        <v>2720</v>
      </c>
      <c r="D271" s="1281" t="s">
        <v>2367</v>
      </c>
      <c r="E271" s="1281"/>
      <c r="F271" s="1281"/>
      <c r="I271" s="524" t="s">
        <v>2143</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4">
      <c r="A278" s="518"/>
      <c r="B278" s="519" t="s">
        <v>2720</v>
      </c>
      <c r="D278" s="1281" t="s">
        <v>1207</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1076</v>
      </c>
      <c r="B282" s="1287"/>
      <c r="C282" s="1287"/>
      <c r="D282" s="1287"/>
      <c r="E282" s="1287"/>
      <c r="F282" s="1287"/>
      <c r="G282" s="1287"/>
      <c r="H282" s="1063"/>
      <c r="I282" s="1259"/>
    </row>
    <row r="283" spans="1:9">
      <c r="D283" s="526"/>
      <c r="E283" s="480"/>
      <c r="F283" s="480"/>
      <c r="I283" s="524"/>
    </row>
    <row r="284" spans="1:9">
      <c r="C284" s="516"/>
      <c r="D284" s="1309" t="s">
        <v>1209</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1210</v>
      </c>
      <c r="E288" s="1334"/>
      <c r="F288" s="1334"/>
      <c r="I288" s="524"/>
    </row>
    <row r="289" spans="1:9">
      <c r="E289" s="480"/>
      <c r="F289" s="480"/>
      <c r="I289" s="524"/>
    </row>
    <row r="290" spans="1:9" ht="14.4">
      <c r="A290" s="518"/>
      <c r="B290" s="519" t="s">
        <v>2720</v>
      </c>
      <c r="D290" s="1281" t="s">
        <v>1211</v>
      </c>
      <c r="E290" s="1281"/>
      <c r="F290" s="1281"/>
      <c r="I290" s="524" t="s">
        <v>2087</v>
      </c>
    </row>
    <row r="291" spans="1:9" ht="14.4">
      <c r="A291" s="518"/>
      <c r="B291" s="518"/>
      <c r="D291" s="1281"/>
      <c r="E291" s="1281"/>
      <c r="F291" s="1281"/>
      <c r="I291" s="524"/>
    </row>
    <row r="292" spans="1:9">
      <c r="D292" s="480"/>
      <c r="E292" s="480"/>
      <c r="F292" s="480"/>
      <c r="I292" s="524"/>
    </row>
    <row r="293" spans="1:9" ht="14.4">
      <c r="A293" s="518"/>
      <c r="B293" s="519" t="s">
        <v>2720</v>
      </c>
      <c r="D293" s="1281" t="s">
        <v>1212</v>
      </c>
      <c r="E293" s="1281"/>
      <c r="F293" s="1281"/>
      <c r="I293" s="524" t="s">
        <v>2087</v>
      </c>
    </row>
    <row r="294" spans="1:9" ht="14.4">
      <c r="A294" s="518"/>
      <c r="B294" s="518"/>
      <c r="D294" s="1281"/>
      <c r="E294" s="1281"/>
      <c r="F294" s="1281"/>
      <c r="I294" s="524"/>
    </row>
    <row r="295" spans="1:9" ht="14.4">
      <c r="A295" s="518"/>
      <c r="B295" s="518"/>
      <c r="D295" s="1281"/>
      <c r="E295" s="1281"/>
      <c r="F295" s="1281"/>
      <c r="I295" s="524"/>
    </row>
    <row r="296" spans="1:9">
      <c r="D296" s="480"/>
      <c r="E296" s="480"/>
      <c r="F296" s="480"/>
      <c r="I296" s="524"/>
    </row>
    <row r="297" spans="1:9" ht="14.4">
      <c r="A297" s="518"/>
      <c r="B297" s="519" t="s">
        <v>2720</v>
      </c>
      <c r="D297" s="1281" t="s">
        <v>1213</v>
      </c>
      <c r="E297" s="1281"/>
      <c r="F297" s="1281"/>
      <c r="I297" s="524" t="s">
        <v>2087</v>
      </c>
    </row>
    <row r="298" spans="1:9" ht="14.4">
      <c r="A298" s="518"/>
      <c r="B298" s="518"/>
      <c r="D298" s="1281"/>
      <c r="E298" s="1281"/>
      <c r="F298" s="1281"/>
      <c r="I298" s="524"/>
    </row>
    <row r="299" spans="1:9">
      <c r="A299" s="524"/>
      <c r="B299" s="524"/>
      <c r="E299" s="480"/>
      <c r="F299" s="480"/>
      <c r="I299" s="524"/>
    </row>
    <row r="300" spans="1:9">
      <c r="A300" s="1287" t="s">
        <v>1077</v>
      </c>
      <c r="B300" s="1287"/>
      <c r="C300" s="1287"/>
      <c r="D300" s="1287"/>
      <c r="E300" s="1287"/>
      <c r="F300" s="1287"/>
      <c r="G300" s="1287"/>
      <c r="H300" s="1063"/>
      <c r="I300" s="1259"/>
    </row>
    <row r="301" spans="1:9">
      <c r="A301" s="524"/>
      <c r="B301" s="524"/>
      <c r="D301" s="480"/>
      <c r="E301" s="480"/>
      <c r="F301" s="480"/>
      <c r="I301" s="524"/>
    </row>
    <row r="302" spans="1:9">
      <c r="C302" s="524"/>
      <c r="D302" s="1279" t="s">
        <v>690</v>
      </c>
      <c r="E302" s="1279"/>
      <c r="F302" s="1279"/>
      <c r="I302" s="524"/>
    </row>
    <row r="303" spans="1:9">
      <c r="C303" s="524"/>
      <c r="D303" s="1310" t="s">
        <v>1214</v>
      </c>
      <c r="E303" s="1310"/>
      <c r="F303" s="1310"/>
      <c r="I303" s="524"/>
    </row>
    <row r="304" spans="1:9">
      <c r="C304" s="524"/>
      <c r="D304" s="527"/>
      <c r="I304" s="524"/>
    </row>
    <row r="305" spans="1:9">
      <c r="B305" s="519" t="s">
        <v>2720</v>
      </c>
      <c r="D305" s="1310" t="s">
        <v>1215</v>
      </c>
      <c r="E305" s="1310"/>
      <c r="F305" s="1310"/>
      <c r="I305" s="524" t="s">
        <v>2088</v>
      </c>
    </row>
    <row r="306" spans="1:9" ht="14.4">
      <c r="A306" s="518"/>
      <c r="B306" s="518"/>
      <c r="D306" s="528"/>
      <c r="E306" s="529"/>
      <c r="F306" s="529"/>
      <c r="I306" s="524"/>
    </row>
    <row r="307" spans="1:9" ht="13.65" customHeight="1">
      <c r="B307" s="519" t="s">
        <v>2720</v>
      </c>
      <c r="D307" s="1331" t="s">
        <v>1325</v>
      </c>
      <c r="E307" s="1331"/>
      <c r="F307" s="1331"/>
      <c r="I307" s="524" t="s">
        <v>2088</v>
      </c>
    </row>
    <row r="308" spans="1:9" ht="14.4">
      <c r="A308" s="518"/>
      <c r="B308" s="518"/>
      <c r="D308" s="1331"/>
      <c r="E308" s="1331"/>
      <c r="F308" s="1331"/>
      <c r="I308" s="524"/>
    </row>
    <row r="309" spans="1:9" ht="14.4">
      <c r="A309" s="518"/>
      <c r="B309" s="518"/>
      <c r="D309" s="1331"/>
      <c r="E309" s="1331"/>
      <c r="F309" s="1331"/>
      <c r="I309" s="524"/>
    </row>
    <row r="310" spans="1:9" ht="14.4">
      <c r="A310" s="518"/>
      <c r="B310" s="518"/>
      <c r="D310" s="1331"/>
      <c r="E310" s="1331"/>
      <c r="F310" s="1331"/>
      <c r="I310" s="524"/>
    </row>
    <row r="311" spans="1:9" ht="14.4">
      <c r="A311" s="518"/>
      <c r="B311" s="518"/>
      <c r="D311" s="1331"/>
      <c r="E311" s="1331"/>
      <c r="F311" s="1331"/>
      <c r="I311" s="524"/>
    </row>
    <row r="312" spans="1:9" ht="14.4">
      <c r="A312" s="518"/>
      <c r="B312" s="518"/>
      <c r="D312" s="528"/>
      <c r="E312" s="529"/>
      <c r="F312" s="529"/>
      <c r="I312" s="524"/>
    </row>
    <row r="313" spans="1:9" ht="13.65" customHeight="1">
      <c r="B313" s="519" t="s">
        <v>2720</v>
      </c>
      <c r="D313" s="1331" t="s">
        <v>1217</v>
      </c>
      <c r="E313" s="1331"/>
      <c r="F313" s="1331"/>
      <c r="I313" s="524" t="s">
        <v>2088</v>
      </c>
    </row>
    <row r="314" spans="1:9">
      <c r="D314" s="1331"/>
      <c r="E314" s="1331"/>
      <c r="F314" s="1331"/>
      <c r="I314" s="524"/>
    </row>
    <row r="315" spans="1:9" ht="14.4">
      <c r="A315" s="518"/>
      <c r="B315" s="518"/>
      <c r="D315" s="528"/>
      <c r="E315" s="529"/>
      <c r="F315" s="529"/>
      <c r="I315" s="524"/>
    </row>
    <row r="316" spans="1:9">
      <c r="B316" s="519" t="s">
        <v>2720</v>
      </c>
      <c r="D316" s="1310" t="s">
        <v>1218</v>
      </c>
      <c r="E316" s="1310"/>
      <c r="F316" s="1310"/>
      <c r="I316" s="524" t="s">
        <v>2074</v>
      </c>
    </row>
    <row r="317" spans="1:9">
      <c r="E317" s="480"/>
      <c r="F317" s="480"/>
      <c r="I317" s="524"/>
    </row>
    <row r="318" spans="1:9" ht="14.4">
      <c r="A318" s="518"/>
      <c r="B318" s="519" t="s">
        <v>2720</v>
      </c>
      <c r="D318" s="1281" t="s">
        <v>2386</v>
      </c>
      <c r="E318" s="1281"/>
      <c r="F318" s="1281"/>
      <c r="I318" s="524" t="s">
        <v>2089</v>
      </c>
    </row>
    <row r="319" spans="1:9" ht="14.4">
      <c r="A319" s="518"/>
      <c r="B319" s="518"/>
      <c r="D319" s="1281"/>
      <c r="E319" s="1281"/>
      <c r="F319" s="1281"/>
      <c r="I319" s="524"/>
    </row>
    <row r="320" spans="1:9" ht="14.4">
      <c r="A320" s="518"/>
      <c r="B320" s="518"/>
      <c r="D320" s="1281"/>
      <c r="E320" s="1281"/>
      <c r="F320" s="1281"/>
      <c r="I320" s="524"/>
    </row>
    <row r="321" spans="1:9" ht="14.4">
      <c r="A321" s="518"/>
      <c r="B321" s="518"/>
      <c r="D321" s="1281"/>
      <c r="E321" s="1281"/>
      <c r="F321" s="1281"/>
      <c r="I321" s="524"/>
    </row>
    <row r="322" spans="1:9" ht="14.4">
      <c r="A322" s="518"/>
      <c r="B322" s="518"/>
      <c r="D322" s="1281"/>
      <c r="E322" s="1281"/>
      <c r="F322" s="1281"/>
      <c r="I322" s="524"/>
    </row>
    <row r="323" spans="1:9" ht="14.4">
      <c r="A323" s="518"/>
      <c r="B323" s="518"/>
      <c r="D323" s="1281"/>
      <c r="E323" s="1281"/>
      <c r="F323" s="1281"/>
      <c r="I323" s="524"/>
    </row>
    <row r="324" spans="1:9" ht="14.4">
      <c r="A324" s="518"/>
      <c r="B324" s="518"/>
      <c r="D324" s="1281"/>
      <c r="E324" s="1281"/>
      <c r="F324" s="1281"/>
      <c r="I324" s="524"/>
    </row>
    <row r="325" spans="1:9" ht="14.4">
      <c r="A325" s="518"/>
      <c r="B325" s="518"/>
      <c r="D325" s="1281"/>
      <c r="E325" s="1281"/>
      <c r="F325" s="1281"/>
      <c r="I325" s="524"/>
    </row>
    <row r="326" spans="1:9" ht="14.4">
      <c r="A326" s="518"/>
      <c r="B326" s="518"/>
      <c r="D326" s="1281"/>
      <c r="E326" s="1281"/>
      <c r="F326" s="1281"/>
      <c r="I326" s="524"/>
    </row>
    <row r="327" spans="1:9" ht="14.4">
      <c r="A327" s="518"/>
      <c r="B327" s="518"/>
      <c r="D327" s="1281"/>
      <c r="E327" s="1281"/>
      <c r="F327" s="1281"/>
      <c r="I327" s="524"/>
    </row>
    <row r="328" spans="1:9" ht="14.4">
      <c r="A328" s="518"/>
      <c r="B328" s="518"/>
      <c r="D328" s="1281"/>
      <c r="E328" s="1281"/>
      <c r="F328" s="1281"/>
      <c r="I328" s="524"/>
    </row>
    <row r="329" spans="1:9" ht="14.4">
      <c r="A329" s="518"/>
      <c r="B329" s="518"/>
      <c r="D329" s="1281"/>
      <c r="E329" s="1281"/>
      <c r="F329" s="1281"/>
      <c r="I329" s="524"/>
    </row>
    <row r="330" spans="1:9" ht="14.4">
      <c r="A330" s="518"/>
      <c r="B330" s="518"/>
      <c r="D330" s="1281"/>
      <c r="E330" s="1281"/>
      <c r="F330" s="1281"/>
      <c r="I330" s="524"/>
    </row>
    <row r="331" spans="1:9" ht="14.4">
      <c r="A331" s="518"/>
      <c r="B331" s="518"/>
      <c r="D331" s="1281"/>
      <c r="E331" s="1281"/>
      <c r="F331" s="1281"/>
      <c r="I331" s="524"/>
    </row>
    <row r="332" spans="1:9" ht="14.4">
      <c r="A332" s="518"/>
      <c r="B332" s="518"/>
      <c r="D332" s="1281"/>
      <c r="E332" s="1281"/>
      <c r="F332" s="1281"/>
      <c r="I332" s="524"/>
    </row>
    <row r="333" spans="1:9">
      <c r="D333" s="480"/>
      <c r="E333" s="480"/>
      <c r="F333" s="480"/>
      <c r="I333" s="524"/>
    </row>
    <row r="334" spans="1:9" ht="14.4">
      <c r="A334" s="518"/>
      <c r="B334" s="519" t="s">
        <v>2720</v>
      </c>
      <c r="D334" s="1281" t="s">
        <v>1220</v>
      </c>
      <c r="E334" s="1281"/>
      <c r="F334" s="1281"/>
      <c r="I334" s="524" t="s">
        <v>2089</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2720</v>
      </c>
      <c r="D344" s="1281" t="s">
        <v>2200</v>
      </c>
      <c r="E344" s="1281"/>
      <c r="F344" s="1281"/>
      <c r="I344" s="524" t="s">
        <v>2126</v>
      </c>
    </row>
    <row r="345" spans="1:9">
      <c r="D345" s="1281"/>
      <c r="E345" s="1281"/>
      <c r="F345" s="1281"/>
      <c r="I345" s="524"/>
    </row>
    <row r="346" spans="1:9">
      <c r="D346" s="1281"/>
      <c r="E346" s="1281"/>
      <c r="F346" s="1281"/>
      <c r="I346" s="524"/>
    </row>
    <row r="347" spans="1:9">
      <c r="D347" s="1281"/>
      <c r="E347" s="1281"/>
      <c r="F347" s="1281"/>
      <c r="I347" s="524"/>
    </row>
    <row r="348" spans="1:9">
      <c r="D348" s="417" t="s">
        <v>2199</v>
      </c>
      <c r="E348" s="416"/>
      <c r="F348" s="416"/>
      <c r="I348" s="524"/>
    </row>
    <row r="349" spans="1:9">
      <c r="D349" s="416"/>
      <c r="E349" s="96" t="s">
        <v>2196</v>
      </c>
      <c r="G349" s="96"/>
      <c r="I349" s="524"/>
    </row>
    <row r="350" spans="1:9">
      <c r="D350" s="479"/>
      <c r="E350" s="479"/>
      <c r="F350" s="479"/>
      <c r="I350" s="524"/>
    </row>
    <row r="351" spans="1:9" ht="13.8" thickBot="1">
      <c r="A351" s="1057"/>
      <c r="B351" s="1057"/>
      <c r="C351" s="1057"/>
      <c r="D351" s="1336" t="s">
        <v>998</v>
      </c>
      <c r="E351" s="1336"/>
      <c r="F351" s="1336"/>
      <c r="G351" s="1062"/>
      <c r="H351" s="1062"/>
      <c r="I351" s="1262"/>
    </row>
    <row r="352" spans="1:9" ht="13.8" thickTop="1">
      <c r="D352" s="1332" t="s">
        <v>1222</v>
      </c>
      <c r="E352" s="1332"/>
      <c r="F352" s="1332"/>
      <c r="I352" s="524"/>
    </row>
    <row r="353" spans="1:9">
      <c r="D353" s="480"/>
      <c r="E353" s="480"/>
      <c r="F353" s="480"/>
      <c r="I353" s="524"/>
    </row>
    <row r="354" spans="1:9">
      <c r="A354" s="510"/>
      <c r="B354" s="510"/>
      <c r="C354" s="510"/>
      <c r="D354" s="481"/>
      <c r="E354" s="481"/>
      <c r="F354" s="480"/>
      <c r="I354" s="524" t="s">
        <v>2090</v>
      </c>
    </row>
    <row r="355" spans="1:9" ht="14.4">
      <c r="A355" s="518"/>
      <c r="B355" s="519" t="s">
        <v>2720</v>
      </c>
      <c r="C355" s="521"/>
      <c r="D355" s="1310" t="s">
        <v>2198</v>
      </c>
      <c r="E355" s="1310"/>
      <c r="F355" s="1310"/>
      <c r="I355" s="1328" t="s">
        <v>2140</v>
      </c>
    </row>
    <row r="356" spans="1:9" ht="12.75" customHeight="1">
      <c r="D356" s="1072"/>
      <c r="E356" s="96" t="s">
        <v>2197</v>
      </c>
      <c r="F356" s="1072"/>
      <c r="I356" s="1329"/>
    </row>
    <row r="357" spans="1:9">
      <c r="D357" s="1281" t="s">
        <v>1346</v>
      </c>
      <c r="E357" s="1281"/>
      <c r="F357" s="1281"/>
      <c r="I357" s="1329"/>
    </row>
    <row r="358" spans="1:9">
      <c r="D358" s="1281"/>
      <c r="E358" s="1281"/>
      <c r="F358" s="1281"/>
      <c r="I358" s="1329"/>
    </row>
    <row r="359" spans="1:9">
      <c r="D359" s="1281"/>
      <c r="E359" s="1281"/>
      <c r="F359" s="1281"/>
      <c r="I359" s="1330"/>
    </row>
    <row r="360" spans="1:9" ht="14.4">
      <c r="A360" s="518"/>
      <c r="B360" s="519" t="s">
        <v>2720</v>
      </c>
      <c r="C360" s="510"/>
      <c r="D360" s="1314" t="s">
        <v>2368</v>
      </c>
      <c r="E360" s="1314"/>
      <c r="F360" s="1314"/>
      <c r="I360" s="514"/>
    </row>
    <row r="361" spans="1:9">
      <c r="A361" s="510"/>
      <c r="B361" s="510"/>
      <c r="C361" s="510"/>
      <c r="D361" s="481"/>
      <c r="E361" s="481"/>
      <c r="F361" s="480"/>
      <c r="I361" s="524"/>
    </row>
    <row r="362" spans="1:9">
      <c r="A362" s="510"/>
      <c r="B362" s="519" t="s">
        <v>2720</v>
      </c>
      <c r="C362" s="510"/>
      <c r="D362" s="1269" t="s">
        <v>2369</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5" customHeight="1">
      <c r="A375" s="510"/>
      <c r="B375" s="519" t="s">
        <v>2720</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2720</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ht="14.4">
      <c r="A387" s="518"/>
      <c r="B387" s="519" t="s">
        <v>2720</v>
      </c>
      <c r="C387" s="510"/>
      <c r="D387" s="1269" t="s">
        <v>1225</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1226</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65" customHeight="1">
      <c r="A401" s="510"/>
      <c r="B401" s="510"/>
      <c r="C401" s="510"/>
      <c r="D401" s="1269" t="s">
        <v>1227</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2720</v>
      </c>
      <c r="C420" s="510"/>
      <c r="D420" s="1269" t="s">
        <v>1228</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 customHeight="1">
      <c r="A423" s="518"/>
      <c r="B423" s="519" t="s">
        <v>2720</v>
      </c>
      <c r="D423" s="1269" t="s">
        <v>2127</v>
      </c>
      <c r="E423" s="1269"/>
      <c r="F423" s="1269"/>
      <c r="I423" s="524"/>
    </row>
    <row r="424" spans="1:9" ht="14.4" customHeight="1">
      <c r="A424" s="518"/>
      <c r="D424" s="1269"/>
      <c r="E424" s="1269"/>
      <c r="F424" s="1269"/>
      <c r="I424" s="524"/>
    </row>
    <row r="425" spans="1:9" ht="14.4" customHeight="1">
      <c r="A425" s="518"/>
      <c r="D425" s="1269"/>
      <c r="E425" s="1269"/>
      <c r="F425" s="1269"/>
      <c r="I425" s="524"/>
    </row>
    <row r="426" spans="1:9" ht="14.4" customHeight="1">
      <c r="A426" s="518"/>
      <c r="D426" s="1269"/>
      <c r="E426" s="1269"/>
      <c r="F426" s="1269"/>
      <c r="I426" s="524"/>
    </row>
    <row r="427" spans="1:9" ht="14.4" customHeight="1">
      <c r="A427" s="518"/>
      <c r="D427" s="1269"/>
      <c r="E427" s="1269"/>
      <c r="F427" s="1269"/>
      <c r="I427" s="524"/>
    </row>
    <row r="428" spans="1:9" ht="14.4" customHeight="1">
      <c r="A428" s="518"/>
      <c r="D428" s="416"/>
      <c r="E428" s="416"/>
      <c r="F428" s="416"/>
      <c r="I428" s="524"/>
    </row>
    <row r="429" spans="1:9" ht="13.65" customHeight="1">
      <c r="A429" s="518"/>
      <c r="B429" s="519" t="s">
        <v>2720</v>
      </c>
      <c r="C429" s="510"/>
      <c r="D429" s="1269" t="s">
        <v>1347</v>
      </c>
      <c r="E429" s="1269"/>
      <c r="F429" s="1269"/>
      <c r="I429" s="524"/>
    </row>
    <row r="430" spans="1:9" ht="14.4">
      <c r="A430" s="531"/>
      <c r="B430" s="531"/>
      <c r="C430" s="510"/>
      <c r="D430" s="1269"/>
      <c r="E430" s="1269"/>
      <c r="F430" s="1269"/>
      <c r="I430" s="524"/>
    </row>
    <row r="431" spans="1:9" ht="14.4">
      <c r="A431" s="531"/>
      <c r="B431" s="531"/>
      <c r="C431" s="510"/>
      <c r="D431" s="1269"/>
      <c r="E431" s="1269"/>
      <c r="F431" s="1269"/>
      <c r="I431" s="524"/>
    </row>
    <row r="432" spans="1:9" ht="14.4">
      <c r="A432" s="531"/>
      <c r="B432" s="531"/>
      <c r="C432" s="510"/>
      <c r="D432" s="1269"/>
      <c r="E432" s="1269"/>
      <c r="F432" s="1269"/>
      <c r="I432" s="524"/>
    </row>
    <row r="433" spans="1:9" ht="15.75" customHeight="1">
      <c r="A433" s="531"/>
      <c r="B433" s="531"/>
      <c r="C433" s="510"/>
      <c r="D433" s="1333" t="s">
        <v>2387</v>
      </c>
      <c r="E433" s="1269"/>
      <c r="F433" s="1269"/>
      <c r="I433" s="524"/>
    </row>
    <row r="434" spans="1:9">
      <c r="D434" s="480"/>
      <c r="E434" s="480"/>
      <c r="F434" s="480"/>
      <c r="I434" s="524"/>
    </row>
    <row r="435" spans="1:9" ht="14.4">
      <c r="A435" s="518"/>
      <c r="B435" s="519" t="s">
        <v>2720</v>
      </c>
      <c r="C435" s="521"/>
      <c r="D435" s="1281" t="s">
        <v>2370</v>
      </c>
      <c r="E435" s="1281"/>
      <c r="F435" s="1281"/>
      <c r="I435" s="524"/>
    </row>
    <row r="436" spans="1:9" ht="14.4">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65" customHeight="1">
      <c r="D465" s="1281"/>
      <c r="E465" s="1281"/>
      <c r="F465" s="1281"/>
      <c r="I465" s="524"/>
    </row>
    <row r="466" spans="1:9">
      <c r="D466" s="480"/>
      <c r="E466" s="480"/>
      <c r="F466" s="480"/>
      <c r="I466" s="524"/>
    </row>
    <row r="467" spans="1:9" ht="14.4">
      <c r="A467" s="518"/>
      <c r="B467" s="519" t="s">
        <v>2720</v>
      </c>
      <c r="C467" s="521"/>
      <c r="D467" s="1281" t="s">
        <v>1233</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4">
      <c r="B471" s="519" t="s">
        <v>2720</v>
      </c>
      <c r="C471" s="518"/>
      <c r="D471" s="1281" t="s">
        <v>1303</v>
      </c>
      <c r="E471" s="1281"/>
      <c r="F471" s="1281"/>
      <c r="I471" s="524"/>
    </row>
    <row r="472" spans="1:9">
      <c r="D472" s="1281"/>
      <c r="E472" s="1281"/>
      <c r="F472" s="1281"/>
      <c r="I472" s="524"/>
    </row>
    <row r="473" spans="1:9">
      <c r="D473" s="480"/>
      <c r="E473" s="480"/>
      <c r="F473" s="480"/>
      <c r="I473" s="524"/>
    </row>
    <row r="474" spans="1:9" ht="14.4">
      <c r="B474" s="519" t="s">
        <v>2720</v>
      </c>
      <c r="C474" s="518"/>
      <c r="D474" s="1281" t="s">
        <v>1235</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2720</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2720</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2720</v>
      </c>
      <c r="C486" s="433"/>
      <c r="D486" s="1281"/>
      <c r="E486" s="1281"/>
      <c r="F486" s="1281"/>
      <c r="I486" s="524"/>
    </row>
    <row r="487" spans="1:9">
      <c r="A487" s="433"/>
      <c r="C487" s="433"/>
      <c r="D487" s="1281"/>
      <c r="E487" s="1281"/>
      <c r="F487" s="1281"/>
      <c r="I487" s="524"/>
    </row>
    <row r="488" spans="1:9">
      <c r="A488" s="433"/>
      <c r="B488" s="519" t="s">
        <v>2720</v>
      </c>
      <c r="C488" s="433"/>
      <c r="D488" s="1281" t="s">
        <v>1236</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2720</v>
      </c>
      <c r="D494" s="1310" t="s">
        <v>1237</v>
      </c>
      <c r="E494" s="1310"/>
      <c r="F494" s="1310"/>
      <c r="I494" s="524"/>
    </row>
    <row r="495" spans="1:9">
      <c r="A495" s="480"/>
      <c r="B495" s="480"/>
      <c r="I495" s="524"/>
    </row>
    <row r="496" spans="1:9">
      <c r="A496" s="1287" t="s">
        <v>1078</v>
      </c>
      <c r="B496" s="1287"/>
      <c r="C496" s="1287"/>
      <c r="D496" s="1287"/>
      <c r="E496" s="1287"/>
      <c r="F496" s="1287"/>
      <c r="G496" s="1287"/>
      <c r="H496" s="1063"/>
      <c r="I496" s="1259"/>
    </row>
    <row r="497" spans="1:9">
      <c r="A497" s="480"/>
      <c r="B497" s="480"/>
      <c r="I497" s="524"/>
    </row>
    <row r="498" spans="1:9">
      <c r="D498" s="1317" t="s">
        <v>895</v>
      </c>
      <c r="E498" s="1317"/>
      <c r="F498" s="1317"/>
      <c r="I498" s="524"/>
    </row>
    <row r="499" spans="1:9" ht="14.4">
      <c r="A499" s="518"/>
      <c r="B499" s="518"/>
      <c r="D499" s="1314" t="s">
        <v>1238</v>
      </c>
      <c r="E499" s="1314"/>
      <c r="F499" s="1314"/>
      <c r="I499" s="524"/>
    </row>
    <row r="500" spans="1:9" ht="14.4">
      <c r="A500" s="518"/>
      <c r="B500" s="518"/>
      <c r="D500" s="481"/>
      <c r="I500" s="524"/>
    </row>
    <row r="501" spans="1:9" ht="14.4">
      <c r="A501" s="518"/>
      <c r="B501" s="519" t="s">
        <v>2720</v>
      </c>
      <c r="D501" s="1269" t="s">
        <v>1239</v>
      </c>
      <c r="E501" s="1269"/>
      <c r="F501" s="1269"/>
      <c r="I501" s="524" t="s">
        <v>2091</v>
      </c>
    </row>
    <row r="502" spans="1:9" ht="14.4">
      <c r="A502" s="518"/>
      <c r="B502" s="518"/>
      <c r="D502" s="1269"/>
      <c r="E502" s="1269"/>
      <c r="F502" s="1269"/>
      <c r="I502" s="524"/>
    </row>
    <row r="503" spans="1:9" ht="14.4">
      <c r="A503" s="518"/>
      <c r="B503" s="518"/>
      <c r="D503" s="480"/>
      <c r="I503" s="524"/>
    </row>
    <row r="504" spans="1:9" ht="12.75" customHeight="1">
      <c r="B504" s="519" t="s">
        <v>2720</v>
      </c>
      <c r="D504" s="1303" t="s">
        <v>1383</v>
      </c>
      <c r="E504" s="1303"/>
      <c r="F504" s="1303"/>
      <c r="I504" s="524" t="s">
        <v>2092</v>
      </c>
    </row>
    <row r="505" spans="1:9" ht="14.4">
      <c r="A505" s="518"/>
      <c r="D505" s="1303"/>
      <c r="E505" s="1303"/>
      <c r="F505" s="1303"/>
      <c r="I505" s="524"/>
    </row>
    <row r="506" spans="1:9" ht="14.4">
      <c r="A506" s="518"/>
      <c r="B506" s="518"/>
      <c r="D506" s="1303"/>
      <c r="E506" s="1303"/>
      <c r="F506" s="1303"/>
      <c r="I506" s="524"/>
    </row>
    <row r="507" spans="1:9" ht="14.4">
      <c r="A507" s="518"/>
      <c r="B507" s="518"/>
      <c r="D507" s="1303"/>
      <c r="E507" s="1303"/>
      <c r="F507" s="1303"/>
      <c r="I507" s="524"/>
    </row>
    <row r="508" spans="1:9" ht="14.4">
      <c r="A508" s="518"/>
      <c r="D508" s="554"/>
      <c r="E508" s="554"/>
      <c r="F508" s="554"/>
      <c r="I508" s="524"/>
    </row>
    <row r="509" spans="1:9" ht="14.4">
      <c r="A509" s="518"/>
      <c r="B509" s="519" t="s">
        <v>2720</v>
      </c>
      <c r="D509" s="1310" t="s">
        <v>1242</v>
      </c>
      <c r="E509" s="1310"/>
      <c r="F509" s="1310"/>
      <c r="I509" s="524" t="s">
        <v>2093</v>
      </c>
    </row>
    <row r="510" spans="1:9" ht="14.4">
      <c r="A510" s="518"/>
      <c r="B510" s="518"/>
      <c r="D510" s="480"/>
      <c r="I510" s="524"/>
    </row>
    <row r="511" spans="1:9" ht="14.4">
      <c r="A511" s="518"/>
      <c r="B511" s="519" t="s">
        <v>2720</v>
      </c>
      <c r="D511" s="1281" t="s">
        <v>1243</v>
      </c>
      <c r="E511" s="1281"/>
      <c r="F511" s="1281"/>
      <c r="I511" s="524" t="s">
        <v>2093</v>
      </c>
    </row>
    <row r="512" spans="1:9" ht="14.4">
      <c r="A512" s="518"/>
      <c r="D512" s="1281"/>
      <c r="E512" s="1281"/>
      <c r="F512" s="1281"/>
      <c r="I512" s="524"/>
    </row>
    <row r="513" spans="1:9">
      <c r="A513" s="524"/>
      <c r="B513" s="524"/>
      <c r="D513" s="481"/>
      <c r="I513" s="524"/>
    </row>
    <row r="514" spans="1:9">
      <c r="A514" s="524"/>
      <c r="B514" s="519" t="s">
        <v>2720</v>
      </c>
      <c r="D514" s="1310" t="s">
        <v>1244</v>
      </c>
      <c r="E514" s="1310"/>
      <c r="F514" s="1310"/>
      <c r="I514" s="524" t="s">
        <v>2146</v>
      </c>
    </row>
    <row r="515" spans="1:9" ht="14.4">
      <c r="A515" s="518"/>
      <c r="B515" s="518"/>
      <c r="D515" s="480"/>
      <c r="I515" s="524"/>
    </row>
    <row r="516" spans="1:9">
      <c r="A516" s="1287" t="s">
        <v>1079</v>
      </c>
      <c r="B516" s="1287"/>
      <c r="C516" s="1287"/>
      <c r="D516" s="1287"/>
      <c r="E516" s="1287"/>
      <c r="F516" s="1287"/>
      <c r="G516" s="1287"/>
      <c r="H516" s="1063"/>
      <c r="I516" s="1259"/>
    </row>
    <row r="517" spans="1:9" ht="12" customHeight="1">
      <c r="A517" s="518"/>
      <c r="B517" s="518"/>
      <c r="D517" s="480"/>
      <c r="I517" s="524"/>
    </row>
    <row r="518" spans="1:9">
      <c r="C518" s="516"/>
      <c r="D518" s="1279" t="s">
        <v>802</v>
      </c>
      <c r="E518" s="1279"/>
      <c r="F518" s="1279"/>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65" customHeight="1">
      <c r="A522" s="517"/>
      <c r="B522" s="519" t="s">
        <v>2719</v>
      </c>
      <c r="C522" s="517"/>
      <c r="D522" s="1269" t="s">
        <v>2371</v>
      </c>
      <c r="E522" s="1269"/>
      <c r="F522" s="1269"/>
      <c r="I522" s="524" t="s">
        <v>2128</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308</v>
      </c>
      <c r="D525" s="417" t="s">
        <v>2201</v>
      </c>
      <c r="E525" s="416"/>
      <c r="F525" s="416"/>
      <c r="I525" s="524" t="s">
        <v>2094</v>
      </c>
    </row>
    <row r="526" spans="1:9">
      <c r="A526" s="517"/>
      <c r="B526" s="517"/>
      <c r="C526" s="517"/>
      <c r="D526" s="416"/>
      <c r="E526" s="96" t="s">
        <v>2202</v>
      </c>
      <c r="I526" s="524"/>
    </row>
    <row r="527" spans="1:9">
      <c r="A527" s="517"/>
      <c r="B527" s="517"/>
      <c r="D527" s="1325" t="s">
        <v>2372</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2" customHeight="1">
      <c r="A531" s="517"/>
      <c r="B531" s="519" t="s">
        <v>2720</v>
      </c>
      <c r="C531" s="517"/>
      <c r="D531" s="1281" t="s">
        <v>2373</v>
      </c>
      <c r="E531" s="1281"/>
      <c r="F531" s="1281"/>
      <c r="I531" s="524" t="s">
        <v>2094</v>
      </c>
    </row>
    <row r="532" spans="1:9">
      <c r="A532" s="517"/>
      <c r="B532" s="517"/>
      <c r="C532" s="517"/>
      <c r="D532" s="1281"/>
      <c r="E532" s="1281"/>
      <c r="F532" s="1281"/>
      <c r="I532" s="524"/>
    </row>
    <row r="533" spans="1:9" ht="12" customHeight="1">
      <c r="A533" s="480"/>
      <c r="B533" s="480"/>
      <c r="C533" s="521"/>
      <c r="D533" s="480"/>
      <c r="F533" s="482"/>
      <c r="I533" s="524"/>
    </row>
    <row r="534" spans="1:9">
      <c r="A534" s="1287" t="s">
        <v>1080</v>
      </c>
      <c r="B534" s="1287"/>
      <c r="C534" s="1287"/>
      <c r="D534" s="1287"/>
      <c r="E534" s="1287"/>
      <c r="F534" s="1287"/>
      <c r="G534" s="1287"/>
      <c r="H534" s="1063"/>
      <c r="I534" s="1259"/>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288" t="s">
        <v>1081</v>
      </c>
      <c r="B538" s="1288"/>
      <c r="C538" s="1288"/>
      <c r="D538" s="1288"/>
      <c r="E538" s="1288"/>
      <c r="F538" s="1288"/>
      <c r="G538" s="1288"/>
      <c r="H538" s="1063"/>
      <c r="I538" s="1259"/>
    </row>
    <row r="539" spans="1:9">
      <c r="A539" s="480"/>
      <c r="B539" s="480"/>
      <c r="C539" s="521"/>
      <c r="D539" s="480"/>
      <c r="F539" s="480"/>
      <c r="I539" s="524"/>
    </row>
    <row r="540" spans="1:9">
      <c r="C540" s="521"/>
      <c r="D540" s="1279" t="s">
        <v>691</v>
      </c>
      <c r="E540" s="1279"/>
      <c r="F540" s="1279"/>
      <c r="I540" s="524"/>
    </row>
    <row r="541" spans="1:9">
      <c r="C541" s="521"/>
      <c r="D541" s="1310" t="s">
        <v>1138</v>
      </c>
      <c r="E541" s="1310"/>
      <c r="F541" s="1310"/>
      <c r="I541" s="524"/>
    </row>
    <row r="542" spans="1:9">
      <c r="C542" s="521"/>
      <c r="D542" s="480"/>
      <c r="E542" s="480"/>
      <c r="F542" s="480"/>
      <c r="I542" s="524"/>
    </row>
    <row r="543" spans="1:9" ht="13.65" customHeight="1">
      <c r="A543" s="518"/>
      <c r="B543" s="519" t="s">
        <v>2719</v>
      </c>
      <c r="C543" s="521"/>
      <c r="D543" s="1310" t="s">
        <v>896</v>
      </c>
      <c r="E543" s="1310"/>
      <c r="F543" s="1310"/>
      <c r="I543" s="524" t="s">
        <v>2144</v>
      </c>
    </row>
    <row r="544" spans="1:9" ht="13.65" customHeight="1">
      <c r="A544" s="521"/>
      <c r="B544" s="521"/>
      <c r="C544" s="521"/>
      <c r="D544" s="480"/>
      <c r="I544" s="524"/>
    </row>
    <row r="545" spans="1:9" ht="14.4">
      <c r="A545" s="518"/>
      <c r="B545" s="519" t="s">
        <v>2719</v>
      </c>
      <c r="C545" s="521"/>
      <c r="D545" s="1281" t="s">
        <v>1139</v>
      </c>
      <c r="E545" s="1281"/>
      <c r="F545" s="1281"/>
      <c r="I545" s="524" t="s">
        <v>2144</v>
      </c>
    </row>
    <row r="546" spans="1:9">
      <c r="A546" s="521"/>
      <c r="B546" s="521"/>
      <c r="C546" s="521"/>
      <c r="D546" s="1281"/>
      <c r="E546" s="1281"/>
      <c r="F546" s="1281"/>
      <c r="I546" s="524"/>
    </row>
    <row r="547" spans="1:9">
      <c r="A547" s="521"/>
      <c r="B547" s="521"/>
      <c r="C547" s="521"/>
      <c r="D547" s="480"/>
      <c r="E547" s="480"/>
      <c r="F547" s="480"/>
      <c r="I547" s="524"/>
    </row>
    <row r="548" spans="1:9" ht="14.4">
      <c r="A548" s="518"/>
      <c r="B548" s="519" t="s">
        <v>2719</v>
      </c>
      <c r="C548" s="521"/>
      <c r="D548" s="1281" t="s">
        <v>1140</v>
      </c>
      <c r="E548" s="1281"/>
      <c r="F548" s="1281"/>
      <c r="I548" s="524" t="s">
        <v>2095</v>
      </c>
    </row>
    <row r="549" spans="1:9">
      <c r="A549" s="521"/>
      <c r="B549" s="521"/>
      <c r="C549" s="521"/>
      <c r="D549" s="1281"/>
      <c r="E549" s="1281"/>
      <c r="F549" s="1281"/>
      <c r="I549" s="524"/>
    </row>
    <row r="550" spans="1:9">
      <c r="A550" s="521"/>
      <c r="B550" s="521"/>
      <c r="C550" s="521"/>
      <c r="D550" s="480"/>
      <c r="E550" s="480"/>
      <c r="F550" s="480"/>
      <c r="I550" s="524"/>
    </row>
    <row r="551" spans="1:9" ht="14.4">
      <c r="A551" s="518"/>
      <c r="B551" s="519" t="s">
        <v>2719</v>
      </c>
      <c r="C551" s="521"/>
      <c r="D551" s="1281" t="s">
        <v>1141</v>
      </c>
      <c r="E551" s="1281"/>
      <c r="F551" s="1281"/>
      <c r="I551" s="524" t="s">
        <v>2096</v>
      </c>
    </row>
    <row r="552" spans="1:9">
      <c r="A552" s="521"/>
      <c r="B552" s="521"/>
      <c r="C552" s="521"/>
      <c r="D552" s="1281"/>
      <c r="E552" s="1281"/>
      <c r="F552" s="1281"/>
      <c r="I552" s="524"/>
    </row>
    <row r="553" spans="1:9">
      <c r="A553" s="521"/>
      <c r="B553" s="521"/>
      <c r="C553" s="521"/>
      <c r="D553" s="480"/>
      <c r="E553" s="480"/>
      <c r="F553" s="480"/>
      <c r="I553" s="524"/>
    </row>
    <row r="554" spans="1:9" ht="14.4">
      <c r="A554" s="518"/>
      <c r="B554" s="519" t="s">
        <v>2719</v>
      </c>
      <c r="C554" s="521"/>
      <c r="D554" s="1281" t="s">
        <v>1142</v>
      </c>
      <c r="E554" s="1281"/>
      <c r="F554" s="1281"/>
      <c r="I554" s="524" t="s">
        <v>2145</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4">
      <c r="A558" s="518"/>
      <c r="B558" s="519" t="s">
        <v>2720</v>
      </c>
      <c r="C558" s="521"/>
      <c r="D558" s="1281" t="s">
        <v>1260</v>
      </c>
      <c r="E558" s="1281"/>
      <c r="F558" s="1281"/>
      <c r="I558" s="524" t="s">
        <v>2144</v>
      </c>
    </row>
    <row r="559" spans="1:9">
      <c r="A559" s="521"/>
      <c r="B559" s="521"/>
      <c r="C559" s="521"/>
      <c r="D559" s="1281"/>
      <c r="E559" s="1281"/>
      <c r="F559" s="1281"/>
      <c r="I559" s="524"/>
    </row>
    <row r="560" spans="1:9">
      <c r="A560" s="521"/>
      <c r="B560" s="521"/>
      <c r="C560" s="521"/>
      <c r="D560" s="480"/>
      <c r="E560" s="480"/>
      <c r="F560" s="480"/>
      <c r="I560" s="524"/>
    </row>
    <row r="561" spans="1:9" ht="14.4">
      <c r="A561" s="518"/>
      <c r="B561" s="519" t="s">
        <v>2720</v>
      </c>
      <c r="C561" s="521"/>
      <c r="D561" s="1281" t="s">
        <v>1144</v>
      </c>
      <c r="E561" s="1281"/>
      <c r="F561" s="1281"/>
      <c r="I561" s="524" t="s">
        <v>2144</v>
      </c>
    </row>
    <row r="562" spans="1:9">
      <c r="A562" s="521"/>
      <c r="B562" s="521"/>
      <c r="C562" s="521"/>
      <c r="D562" s="1281"/>
      <c r="E562" s="1281"/>
      <c r="F562" s="1281"/>
      <c r="I562" s="524"/>
    </row>
    <row r="563" spans="1:9">
      <c r="A563" s="521"/>
      <c r="B563" s="521"/>
      <c r="C563" s="521"/>
      <c r="D563" s="480"/>
      <c r="E563" s="480"/>
      <c r="F563" s="480"/>
      <c r="I563" s="524"/>
    </row>
    <row r="564" spans="1:9" ht="14.4">
      <c r="A564" s="518"/>
      <c r="B564" s="519" t="s">
        <v>2719</v>
      </c>
      <c r="C564" s="521"/>
      <c r="D564" s="1310" t="s">
        <v>1145</v>
      </c>
      <c r="E564" s="1310"/>
      <c r="F564" s="1310"/>
      <c r="I564" s="524" t="s">
        <v>2147</v>
      </c>
    </row>
    <row r="565" spans="1:9">
      <c r="A565" s="524"/>
      <c r="B565" s="524"/>
      <c r="C565" s="521"/>
      <c r="D565" s="1310" t="s">
        <v>2204</v>
      </c>
      <c r="E565" s="1310"/>
      <c r="F565" s="1310"/>
      <c r="I565" s="524"/>
    </row>
    <row r="566" spans="1:9">
      <c r="A566" s="524"/>
      <c r="B566" s="524"/>
      <c r="C566" s="521"/>
      <c r="E566" s="96" t="s">
        <v>2203</v>
      </c>
      <c r="F566" s="435"/>
      <c r="I566" s="524"/>
    </row>
    <row r="567" spans="1:9" ht="14.4">
      <c r="A567" s="518"/>
      <c r="B567" s="518"/>
      <c r="C567" s="521"/>
      <c r="E567" s="480"/>
      <c r="F567" s="480"/>
      <c r="I567" s="524"/>
    </row>
    <row r="568" spans="1:9" ht="14.4">
      <c r="A568" s="518"/>
      <c r="B568" s="519" t="s">
        <v>2719</v>
      </c>
      <c r="C568" s="521"/>
      <c r="D568" s="1310" t="s">
        <v>1147</v>
      </c>
      <c r="E568" s="1310"/>
      <c r="F568" s="1310"/>
      <c r="I568" s="524" t="s">
        <v>2097</v>
      </c>
    </row>
    <row r="569" spans="1:9">
      <c r="C569" s="521"/>
      <c r="D569" s="1281" t="s">
        <v>1148</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4">
      <c r="A573" s="518"/>
      <c r="B573" s="519" t="s">
        <v>2719</v>
      </c>
      <c r="C573" s="521"/>
      <c r="D573" s="1281" t="s">
        <v>2374</v>
      </c>
      <c r="E573" s="1281"/>
      <c r="F573" s="1281"/>
      <c r="I573" s="524" t="s">
        <v>2098</v>
      </c>
    </row>
    <row r="574" spans="1:9" ht="14.4">
      <c r="A574" s="518"/>
      <c r="B574" s="518"/>
      <c r="C574" s="521"/>
      <c r="D574" s="1281"/>
      <c r="E574" s="1281"/>
      <c r="F574" s="1281"/>
      <c r="I574" s="524"/>
    </row>
    <row r="575" spans="1:9" ht="14.4">
      <c r="A575" s="518"/>
      <c r="B575" s="518"/>
      <c r="C575" s="521"/>
      <c r="D575" s="1281"/>
      <c r="E575" s="1281"/>
      <c r="F575" s="1281"/>
      <c r="I575" s="524"/>
    </row>
    <row r="576" spans="1:9" ht="14.4">
      <c r="A576" s="518"/>
      <c r="B576" s="518"/>
      <c r="C576" s="521"/>
      <c r="D576" s="1281"/>
      <c r="E576" s="1281"/>
      <c r="F576" s="1281"/>
      <c r="I576" s="524"/>
    </row>
    <row r="577" spans="1:9" ht="14.4">
      <c r="A577" s="518"/>
      <c r="B577" s="518"/>
      <c r="C577" s="521"/>
      <c r="D577" s="480"/>
      <c r="E577" s="480"/>
      <c r="F577" s="480"/>
      <c r="I577" s="524"/>
    </row>
    <row r="578" spans="1:9">
      <c r="A578" s="1287" t="s">
        <v>1082</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1098</v>
      </c>
      <c r="E581" s="1303"/>
      <c r="F581" s="1303"/>
      <c r="I581" s="524"/>
    </row>
    <row r="582" spans="1:9">
      <c r="A582" s="433"/>
      <c r="B582" s="433"/>
      <c r="C582" s="517"/>
      <c r="D582" s="533"/>
      <c r="I582" s="524" t="s">
        <v>2099</v>
      </c>
    </row>
    <row r="583" spans="1:9">
      <c r="A583" s="517"/>
      <c r="B583" s="519" t="s">
        <v>2719</v>
      </c>
      <c r="D583" s="1303" t="s">
        <v>902</v>
      </c>
      <c r="E583" s="1303"/>
      <c r="F583" s="1303"/>
      <c r="I583" s="524"/>
    </row>
    <row r="584" spans="1:9">
      <c r="A584" s="524"/>
      <c r="B584" s="524"/>
      <c r="D584" s="510"/>
      <c r="I584" s="524"/>
    </row>
    <row r="585" spans="1:9">
      <c r="A585" s="524"/>
      <c r="B585" s="519" t="s">
        <v>2719</v>
      </c>
      <c r="D585" s="1303" t="s">
        <v>2375</v>
      </c>
      <c r="E585" s="1303"/>
      <c r="F585" s="1303"/>
      <c r="I585" s="524" t="s">
        <v>2101</v>
      </c>
    </row>
    <row r="586" spans="1:9">
      <c r="A586" s="524"/>
      <c r="B586" s="524"/>
      <c r="D586" s="1303"/>
      <c r="E586" s="1303"/>
      <c r="F586" s="1303"/>
      <c r="I586" s="524" t="s">
        <v>2100</v>
      </c>
    </row>
    <row r="587" spans="1:9">
      <c r="A587" s="524"/>
      <c r="B587" s="524"/>
      <c r="D587" s="1303"/>
      <c r="E587" s="1303"/>
      <c r="F587" s="1303"/>
      <c r="I587" s="524"/>
    </row>
    <row r="588" spans="1:9">
      <c r="A588" s="524"/>
      <c r="B588" s="524"/>
      <c r="D588" s="1303"/>
      <c r="E588" s="1303"/>
      <c r="F588" s="1303"/>
      <c r="I588" s="524"/>
    </row>
    <row r="589" spans="1:9">
      <c r="A589" s="524"/>
      <c r="B589" s="519" t="s">
        <v>2720</v>
      </c>
      <c r="D589" s="1303" t="s">
        <v>1100</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2719</v>
      </c>
      <c r="D594" s="1303" t="s">
        <v>2376</v>
      </c>
      <c r="E594" s="1303"/>
      <c r="F594" s="1303"/>
      <c r="I594" s="524"/>
    </row>
    <row r="595" spans="1:9">
      <c r="A595" s="524"/>
      <c r="B595" s="524"/>
      <c r="D595" s="1303"/>
      <c r="E595" s="1303"/>
      <c r="F595" s="1303"/>
      <c r="I595" s="524"/>
    </row>
    <row r="596" spans="1:9">
      <c r="A596" s="524"/>
      <c r="B596" s="524"/>
      <c r="D596" s="533"/>
      <c r="I596" s="524"/>
    </row>
    <row r="597" spans="1:9">
      <c r="A597" s="524"/>
      <c r="B597" s="519" t="s">
        <v>2720</v>
      </c>
      <c r="D597" s="1303" t="s">
        <v>1102</v>
      </c>
      <c r="E597" s="1303"/>
      <c r="F597" s="1303"/>
      <c r="I597" s="524" t="s">
        <v>2148</v>
      </c>
    </row>
    <row r="598" spans="1:9">
      <c r="A598" s="524"/>
      <c r="B598" s="524"/>
      <c r="D598" s="1303"/>
      <c r="E598" s="1303"/>
      <c r="F598" s="1303"/>
      <c r="I598" s="524"/>
    </row>
    <row r="599" spans="1:9" ht="14.4">
      <c r="A599" s="518"/>
      <c r="B599" s="518"/>
      <c r="D599" s="533"/>
      <c r="I599" s="524"/>
    </row>
    <row r="600" spans="1:9">
      <c r="A600" s="1287" t="s">
        <v>1083</v>
      </c>
      <c r="B600" s="1287"/>
      <c r="C600" s="1287"/>
      <c r="D600" s="1287"/>
      <c r="E600" s="1287"/>
      <c r="F600" s="1287"/>
      <c r="G600" s="1287"/>
      <c r="H600" s="1063"/>
      <c r="I600" s="1259"/>
    </row>
    <row r="601" spans="1:9">
      <c r="I601" s="524"/>
    </row>
    <row r="602" spans="1:9">
      <c r="D602" s="1279" t="s">
        <v>1183</v>
      </c>
      <c r="E602" s="1279"/>
      <c r="F602" s="1279"/>
      <c r="I602" s="524"/>
    </row>
    <row r="603" spans="1:9">
      <c r="D603" s="1280" t="s">
        <v>1184</v>
      </c>
      <c r="E603" s="1280"/>
      <c r="F603" s="1280"/>
      <c r="I603" s="524"/>
    </row>
    <row r="604" spans="1:9">
      <c r="D604" s="478"/>
      <c r="I604" s="524"/>
    </row>
    <row r="605" spans="1:9" ht="14.25" customHeight="1">
      <c r="A605" s="518"/>
      <c r="B605" s="519" t="s">
        <v>2719</v>
      </c>
      <c r="D605" s="1344" t="s">
        <v>2205</v>
      </c>
      <c r="E605" s="1344"/>
      <c r="F605" s="1344"/>
      <c r="I605" s="524" t="s">
        <v>2129</v>
      </c>
    </row>
    <row r="606" spans="1:9">
      <c r="D606" s="1344"/>
      <c r="E606" s="1344"/>
      <c r="F606" s="1344"/>
      <c r="I606" s="524"/>
    </row>
    <row r="607" spans="1:9">
      <c r="D607" s="416"/>
      <c r="E607" s="1071" t="s">
        <v>2206</v>
      </c>
      <c r="F607" s="416"/>
      <c r="I607" s="524"/>
    </row>
    <row r="608" spans="1:9">
      <c r="I608" s="524"/>
    </row>
    <row r="609" spans="1:9">
      <c r="A609" s="1287" t="s">
        <v>1084</v>
      </c>
      <c r="B609" s="1287"/>
      <c r="C609" s="1287"/>
      <c r="D609" s="1287"/>
      <c r="E609" s="1287"/>
      <c r="F609" s="1287"/>
      <c r="G609" s="1287"/>
      <c r="H609" s="1063"/>
      <c r="I609" s="1259"/>
    </row>
    <row r="610" spans="1:9">
      <c r="A610" s="480"/>
      <c r="B610" s="480"/>
      <c r="I610" s="524"/>
    </row>
    <row r="611" spans="1:9">
      <c r="A611" s="516"/>
      <c r="B611" s="516"/>
      <c r="C611" s="516"/>
      <c r="D611" s="1282" t="s">
        <v>1186</v>
      </c>
      <c r="E611" s="1282"/>
      <c r="F611" s="1282"/>
      <c r="I611" s="524"/>
    </row>
    <row r="612" spans="1:9">
      <c r="A612" s="516"/>
      <c r="B612" s="516"/>
      <c r="C612" s="516"/>
      <c r="D612" s="1282"/>
      <c r="E612" s="1282"/>
      <c r="F612" s="1282"/>
      <c r="I612" s="524"/>
    </row>
    <row r="613" spans="1:9">
      <c r="C613" s="517"/>
      <c r="D613" s="1280" t="s">
        <v>1187</v>
      </c>
      <c r="E613" s="1280"/>
      <c r="F613" s="1280"/>
      <c r="I613" s="524"/>
    </row>
    <row r="614" spans="1:9">
      <c r="C614" s="517"/>
      <c r="D614" s="478"/>
      <c r="E614" s="478"/>
      <c r="F614" s="478"/>
      <c r="I614" s="524"/>
    </row>
    <row r="615" spans="1:9" ht="12.75" customHeight="1">
      <c r="A615" s="524"/>
      <c r="B615" s="519" t="s">
        <v>2719</v>
      </c>
      <c r="D615" s="1283" t="s">
        <v>1188</v>
      </c>
      <c r="E615" s="1283"/>
      <c r="F615" s="1283"/>
      <c r="I615" s="524" t="s">
        <v>2149</v>
      </c>
    </row>
    <row r="616" spans="1:9">
      <c r="D616" s="1283"/>
      <c r="E616" s="1283"/>
      <c r="F616" s="1283"/>
      <c r="I616" s="524"/>
    </row>
    <row r="617" spans="1:9">
      <c r="I617" s="524"/>
    </row>
    <row r="618" spans="1:9">
      <c r="B618" s="519" t="s">
        <v>2719</v>
      </c>
      <c r="D618" s="1283" t="s">
        <v>1189</v>
      </c>
      <c r="E618" s="1283"/>
      <c r="F618" s="1283"/>
      <c r="I618" s="524" t="s">
        <v>2102</v>
      </c>
    </row>
    <row r="619" spans="1:9">
      <c r="C619" s="534"/>
      <c r="D619" s="1283"/>
      <c r="E619" s="1283"/>
      <c r="F619" s="1283"/>
      <c r="I619" s="524"/>
    </row>
    <row r="620" spans="1:9">
      <c r="C620" s="534"/>
      <c r="I620" s="524"/>
    </row>
    <row r="621" spans="1:9">
      <c r="B621" s="519" t="s">
        <v>2720</v>
      </c>
      <c r="C621" s="534"/>
      <c r="D621" s="1283" t="s">
        <v>1190</v>
      </c>
      <c r="E621" s="1283"/>
      <c r="F621" s="1283"/>
      <c r="I621" s="524" t="s">
        <v>2150</v>
      </c>
    </row>
    <row r="622" spans="1:9">
      <c r="C622" s="534"/>
      <c r="D622" s="1283"/>
      <c r="E622" s="1283"/>
      <c r="F622" s="1283"/>
      <c r="I622" s="534" t="s">
        <v>2151</v>
      </c>
    </row>
    <row r="623" spans="1:9">
      <c r="C623" s="534"/>
      <c r="I623" s="524"/>
    </row>
    <row r="624" spans="1:9">
      <c r="A624" s="1287" t="s">
        <v>1085</v>
      </c>
      <c r="B624" s="1287"/>
      <c r="C624" s="1287"/>
      <c r="D624" s="1287"/>
      <c r="E624" s="1287"/>
      <c r="F624" s="1287"/>
      <c r="G624" s="1287"/>
      <c r="H624" s="1063"/>
      <c r="I624" s="1259"/>
    </row>
    <row r="625" spans="1:9">
      <c r="A625" s="516"/>
      <c r="B625" s="516"/>
      <c r="C625" s="516"/>
      <c r="I625" s="524"/>
    </row>
    <row r="626" spans="1:9">
      <c r="C626" s="524"/>
      <c r="D626" s="1279" t="s">
        <v>1191</v>
      </c>
      <c r="E626" s="1279"/>
      <c r="F626" s="1279"/>
      <c r="I626" s="524"/>
    </row>
    <row r="627" spans="1:9">
      <c r="A627" s="524"/>
      <c r="B627" s="524"/>
      <c r="D627" s="435"/>
      <c r="I627" s="524"/>
    </row>
    <row r="628" spans="1:9" ht="14.25" customHeight="1">
      <c r="A628" s="518"/>
      <c r="B628" s="519" t="s">
        <v>2719</v>
      </c>
      <c r="D628" s="1344" t="s">
        <v>2377</v>
      </c>
      <c r="E628" s="1344"/>
      <c r="F628" s="1344"/>
      <c r="I628" s="524" t="s">
        <v>2130</v>
      </c>
    </row>
    <row r="629" spans="1:9">
      <c r="D629" s="1344"/>
      <c r="E629" s="1344"/>
      <c r="F629" s="1344"/>
      <c r="I629" s="524"/>
    </row>
    <row r="630" spans="1:9">
      <c r="D630" s="416"/>
      <c r="E630" s="1071" t="s">
        <v>2208</v>
      </c>
      <c r="F630" s="416"/>
      <c r="I630" s="524"/>
    </row>
    <row r="631" spans="1:9">
      <c r="D631" s="1281" t="s">
        <v>2207</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4">
      <c r="A635" s="518"/>
      <c r="B635" s="519" t="s">
        <v>2720</v>
      </c>
      <c r="D635" s="1281" t="s">
        <v>1193</v>
      </c>
      <c r="E635" s="1281"/>
      <c r="F635" s="1281"/>
      <c r="I635" s="524" t="s">
        <v>2152</v>
      </c>
    </row>
    <row r="636" spans="1:9">
      <c r="A636" s="521"/>
      <c r="B636" s="521"/>
      <c r="C636" s="521"/>
      <c r="D636" s="1281"/>
      <c r="E636" s="1281"/>
      <c r="F636" s="1281"/>
      <c r="I636" s="524"/>
    </row>
    <row r="637" spans="1:9">
      <c r="A637" s="521"/>
      <c r="B637" s="521"/>
      <c r="C637" s="521"/>
      <c r="D637" s="480"/>
      <c r="E637" s="480"/>
      <c r="F637" s="480"/>
      <c r="I637" s="524"/>
    </row>
    <row r="638" spans="1:9" ht="14.4">
      <c r="A638" s="518"/>
      <c r="B638" s="519" t="s">
        <v>2720</v>
      </c>
      <c r="C638" s="521"/>
      <c r="D638" s="1281" t="s">
        <v>1332</v>
      </c>
      <c r="E638" s="1281"/>
      <c r="F638" s="1281"/>
      <c r="I638" s="524" t="s">
        <v>2103</v>
      </c>
    </row>
    <row r="639" spans="1:9" ht="14.4">
      <c r="A639" s="518"/>
      <c r="B639" s="518"/>
      <c r="C639" s="521"/>
      <c r="D639" s="1281"/>
      <c r="E639" s="1281"/>
      <c r="F639" s="1281"/>
      <c r="I639" s="524"/>
    </row>
    <row r="640" spans="1:9" ht="14.4">
      <c r="A640" s="518"/>
      <c r="B640" s="518"/>
      <c r="C640" s="521"/>
      <c r="D640" s="1281"/>
      <c r="E640" s="1281"/>
      <c r="F640" s="1281"/>
      <c r="I640" s="524"/>
    </row>
    <row r="641" spans="1:9">
      <c r="A641" s="521"/>
      <c r="B641" s="519" t="s">
        <v>2720</v>
      </c>
      <c r="C641" s="521"/>
      <c r="D641" s="1310" t="s">
        <v>1195</v>
      </c>
      <c r="E641" s="1310"/>
      <c r="F641" s="1310"/>
      <c r="I641" s="524" t="s">
        <v>2103</v>
      </c>
    </row>
    <row r="642" spans="1:9">
      <c r="A642" s="521"/>
      <c r="B642" s="521"/>
      <c r="C642" s="521"/>
      <c r="D642" s="480"/>
      <c r="E642" s="480"/>
      <c r="F642" s="480"/>
      <c r="I642" s="524"/>
    </row>
    <row r="643" spans="1:9">
      <c r="A643" s="1287" t="s">
        <v>1086</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1245</v>
      </c>
      <c r="E645" s="1279"/>
      <c r="F645" s="1279"/>
      <c r="I645" s="524"/>
    </row>
    <row r="646" spans="1:9">
      <c r="A646" s="517"/>
      <c r="B646" s="517"/>
      <c r="C646" s="517"/>
      <c r="D646" s="1310" t="s">
        <v>1246</v>
      </c>
      <c r="E646" s="1310"/>
      <c r="F646" s="1310"/>
      <c r="I646" s="524"/>
    </row>
    <row r="647" spans="1:9">
      <c r="A647" s="517"/>
      <c r="B647" s="517"/>
      <c r="C647" s="517"/>
      <c r="D647" s="480"/>
      <c r="E647" s="480"/>
      <c r="F647" s="480"/>
      <c r="I647" s="524"/>
    </row>
    <row r="648" spans="1:9" ht="12.75" customHeight="1">
      <c r="B648" s="519" t="s">
        <v>2719</v>
      </c>
      <c r="C648" s="521"/>
      <c r="D648" s="1281" t="s">
        <v>1391</v>
      </c>
      <c r="E648" s="1281"/>
      <c r="F648" s="1281"/>
      <c r="I648" s="524" t="s">
        <v>2155</v>
      </c>
    </row>
    <row r="649" spans="1:9">
      <c r="D649" s="1281"/>
      <c r="E649" s="1281"/>
      <c r="F649" s="1281"/>
      <c r="I649" s="524"/>
    </row>
    <row r="650" spans="1:9">
      <c r="D650" s="1281"/>
      <c r="E650" s="1281"/>
      <c r="F650" s="1281"/>
      <c r="I650" s="524"/>
    </row>
    <row r="651" spans="1:9">
      <c r="D651" s="1281"/>
      <c r="E651" s="1281"/>
      <c r="F651" s="1281"/>
      <c r="I651" s="524"/>
    </row>
    <row r="652" spans="1:9" ht="14.4" customHeight="1">
      <c r="A652" s="518"/>
      <c r="B652" s="518"/>
      <c r="C652" s="521"/>
      <c r="D652" s="416"/>
      <c r="E652" s="416"/>
      <c r="F652" s="416"/>
      <c r="I652" s="524"/>
    </row>
    <row r="653" spans="1:9" ht="12.75" customHeight="1">
      <c r="A653" s="517"/>
      <c r="B653" s="519" t="s">
        <v>2719</v>
      </c>
      <c r="C653" s="521"/>
      <c r="D653" s="1281" t="s">
        <v>1393</v>
      </c>
      <c r="E653" s="1281"/>
      <c r="F653" s="1281"/>
      <c r="I653" s="524" t="s">
        <v>2155</v>
      </c>
    </row>
    <row r="654" spans="1:9" ht="14.4">
      <c r="A654" s="517"/>
      <c r="B654" s="518"/>
      <c r="C654" s="521"/>
      <c r="D654" s="1281"/>
      <c r="E654" s="1281"/>
      <c r="F654" s="1281"/>
      <c r="I654" s="524"/>
    </row>
    <row r="655" spans="1:9" ht="14.4">
      <c r="A655" s="517"/>
      <c r="B655" s="518"/>
      <c r="C655" s="521"/>
      <c r="D655" s="1281"/>
      <c r="E655" s="1281"/>
      <c r="F655" s="1281"/>
      <c r="I655" s="524"/>
    </row>
    <row r="656" spans="1:9" ht="14.4">
      <c r="A656" s="517"/>
      <c r="B656" s="518"/>
      <c r="C656" s="521"/>
      <c r="D656" s="1281"/>
      <c r="E656" s="1281"/>
      <c r="F656" s="1281"/>
      <c r="I656" s="524"/>
    </row>
    <row r="657" spans="1:9" ht="14.4">
      <c r="A657" s="517"/>
      <c r="B657" s="518"/>
      <c r="C657" s="521"/>
      <c r="D657" s="1281"/>
      <c r="E657" s="1281"/>
      <c r="F657" s="1281"/>
      <c r="I657" s="524"/>
    </row>
    <row r="658" spans="1:9" ht="14.25" customHeight="1">
      <c r="A658" s="517"/>
      <c r="B658" s="518"/>
      <c r="C658" s="521"/>
      <c r="F658" s="417"/>
      <c r="I658" s="524"/>
    </row>
    <row r="659" spans="1:9" ht="12.75" customHeight="1">
      <c r="A659" s="517"/>
      <c r="B659" s="519" t="s">
        <v>2719</v>
      </c>
      <c r="C659" s="521"/>
      <c r="D659" s="1281" t="s">
        <v>1392</v>
      </c>
      <c r="E659" s="1281"/>
      <c r="F659" s="1281"/>
      <c r="I659" s="524" t="s">
        <v>2155</v>
      </c>
    </row>
    <row r="660" spans="1:9" ht="14.4">
      <c r="A660" s="517"/>
      <c r="B660" s="518"/>
      <c r="C660" s="521"/>
      <c r="D660" s="1281"/>
      <c r="E660" s="1281"/>
      <c r="F660" s="1281"/>
      <c r="I660" s="524"/>
    </row>
    <row r="661" spans="1:9" ht="14.4">
      <c r="A661" s="518"/>
      <c r="B661" s="518"/>
      <c r="C661" s="521"/>
      <c r="D661" s="1281"/>
      <c r="E661" s="1281"/>
      <c r="F661" s="1281"/>
      <c r="I661" s="524"/>
    </row>
    <row r="662" spans="1:9" ht="14.4">
      <c r="A662" s="518"/>
      <c r="B662" s="518"/>
      <c r="C662" s="521"/>
      <c r="D662" s="1281"/>
      <c r="E662" s="1281"/>
      <c r="F662" s="1281"/>
      <c r="I662" s="524"/>
    </row>
    <row r="663" spans="1:9" ht="14.4">
      <c r="A663" s="518"/>
      <c r="B663" s="518"/>
      <c r="C663" s="521"/>
      <c r="D663" s="479"/>
      <c r="E663" s="479"/>
      <c r="F663" s="479"/>
      <c r="I663" s="524"/>
    </row>
    <row r="664" spans="1:9" ht="12.75" customHeight="1">
      <c r="A664" s="517"/>
      <c r="B664" s="519" t="s">
        <v>2720</v>
      </c>
      <c r="C664" s="521"/>
      <c r="D664" s="1281" t="s">
        <v>2378</v>
      </c>
      <c r="E664" s="1281"/>
      <c r="F664" s="1281"/>
      <c r="I664" s="524" t="s">
        <v>2155</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1087</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1123</v>
      </c>
      <c r="E678" s="1310"/>
      <c r="F678" s="1310"/>
      <c r="H678" s="535"/>
      <c r="I678" s="517"/>
      <c r="J678" s="535"/>
      <c r="K678" s="535"/>
    </row>
    <row r="679" spans="1:11">
      <c r="A679" s="517"/>
      <c r="B679" s="517"/>
      <c r="C679" s="517"/>
      <c r="H679" s="535"/>
      <c r="I679" s="517"/>
      <c r="J679" s="535"/>
      <c r="K679" s="535"/>
    </row>
    <row r="680" spans="1:11" ht="14.4">
      <c r="A680" s="518"/>
      <c r="B680" s="519" t="s">
        <v>2719</v>
      </c>
      <c r="C680" s="517"/>
      <c r="D680" s="1310" t="s">
        <v>898</v>
      </c>
      <c r="E680" s="1310"/>
      <c r="F680" s="1310"/>
      <c r="H680" s="535"/>
      <c r="I680" s="517" t="s">
        <v>2131</v>
      </c>
      <c r="J680" s="535"/>
      <c r="K680" s="535"/>
    </row>
    <row r="681" spans="1:11">
      <c r="A681" s="517"/>
      <c r="B681" s="517"/>
      <c r="C681" s="517"/>
      <c r="D681" s="1310" t="s">
        <v>908</v>
      </c>
      <c r="E681" s="1310"/>
      <c r="F681" s="1310"/>
      <c r="H681" s="535"/>
      <c r="I681" s="517"/>
      <c r="J681" s="535"/>
      <c r="K681" s="535"/>
    </row>
    <row r="682" spans="1:11" ht="12.75"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c r="A684" s="517"/>
      <c r="B684" s="517"/>
      <c r="C684" s="517"/>
      <c r="D684" s="536"/>
      <c r="E684" s="480"/>
      <c r="H684" s="535"/>
      <c r="I684" s="517"/>
      <c r="J684" s="535"/>
      <c r="K684" s="535"/>
    </row>
    <row r="685" spans="1:11" ht="14.4">
      <c r="A685" s="518"/>
      <c r="B685" s="519" t="s">
        <v>2720</v>
      </c>
      <c r="C685" s="517"/>
      <c r="D685" s="1281" t="s">
        <v>2379</v>
      </c>
      <c r="E685" s="1281"/>
      <c r="F685" s="1281"/>
      <c r="H685" s="535"/>
      <c r="I685" s="517" t="s">
        <v>2153</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2132</v>
      </c>
      <c r="J688" s="535"/>
      <c r="K688" s="535"/>
    </row>
    <row r="689" spans="1:11" ht="14.4">
      <c r="A689" s="518"/>
      <c r="B689" s="519" t="s">
        <v>2719</v>
      </c>
      <c r="C689" s="517"/>
      <c r="D689" s="1310" t="s">
        <v>936</v>
      </c>
      <c r="E689" s="1310"/>
      <c r="F689" s="1310"/>
      <c r="H689" s="535"/>
      <c r="I689" s="517"/>
      <c r="J689" s="535"/>
      <c r="K689" s="535"/>
    </row>
    <row r="690" spans="1:11" ht="14.4">
      <c r="A690" s="518"/>
      <c r="B690" s="518"/>
      <c r="C690" s="517"/>
      <c r="D690" s="1310" t="s">
        <v>908</v>
      </c>
      <c r="E690" s="1310"/>
      <c r="F690" s="1310"/>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ht="14.4">
      <c r="A693" s="518"/>
      <c r="B693" s="519" t="s">
        <v>2720</v>
      </c>
      <c r="C693" s="517"/>
      <c r="D693" s="1281" t="s">
        <v>1136</v>
      </c>
      <c r="E693" s="1281"/>
      <c r="F693" s="1281"/>
      <c r="H693" s="535"/>
      <c r="I693" s="517" t="s">
        <v>2104</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2720</v>
      </c>
      <c r="C700" s="517"/>
      <c r="D700" s="1281" t="s">
        <v>1307</v>
      </c>
      <c r="E700" s="1281"/>
      <c r="F700" s="1281"/>
      <c r="H700" s="535"/>
      <c r="I700" s="517" t="s">
        <v>2104</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4">
      <c r="A703" s="518"/>
      <c r="B703" s="519" t="s">
        <v>2720</v>
      </c>
      <c r="C703" s="517"/>
      <c r="D703" s="1281" t="s">
        <v>1127</v>
      </c>
      <c r="E703" s="1281"/>
      <c r="F703" s="1281"/>
      <c r="H703" s="535"/>
      <c r="I703" s="517" t="s">
        <v>2104</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2720</v>
      </c>
      <c r="C716" s="517"/>
      <c r="D716" s="1281" t="s">
        <v>1134</v>
      </c>
      <c r="E716" s="1281"/>
      <c r="F716" s="1281"/>
      <c r="H716" s="535"/>
      <c r="I716" s="517" t="s">
        <v>2154</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2720</v>
      </c>
      <c r="C719" s="517"/>
      <c r="D719" s="1281" t="s">
        <v>1128</v>
      </c>
      <c r="E719" s="1281"/>
      <c r="F719" s="1281"/>
      <c r="H719" s="535"/>
      <c r="I719" s="517" t="s">
        <v>2154</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2720</v>
      </c>
      <c r="C723" s="517"/>
      <c r="D723" s="1281" t="s">
        <v>1129</v>
      </c>
      <c r="E723" s="1281"/>
      <c r="F723" s="1281"/>
      <c r="H723" s="535"/>
      <c r="I723" s="517" t="s">
        <v>2154</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4">
      <c r="A727" s="518"/>
      <c r="B727" s="519" t="s">
        <v>2720</v>
      </c>
      <c r="C727" s="517"/>
      <c r="D727" s="1281" t="s">
        <v>1130</v>
      </c>
      <c r="E727" s="1281"/>
      <c r="F727" s="1281"/>
      <c r="H727" s="535"/>
      <c r="I727" s="517" t="s">
        <v>2105</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4">
      <c r="A732" s="518"/>
      <c r="B732" s="519" t="s">
        <v>2720</v>
      </c>
      <c r="C732" s="517"/>
      <c r="D732" s="1281" t="s">
        <v>2502</v>
      </c>
      <c r="E732" s="1281"/>
      <c r="F732" s="1281"/>
      <c r="H732" s="535"/>
      <c r="I732" s="517" t="s">
        <v>2121</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2388</v>
      </c>
      <c r="E739" s="1293"/>
      <c r="F739" s="1293"/>
      <c r="H739" s="535"/>
      <c r="I739" s="517"/>
      <c r="J739" s="535"/>
      <c r="K739" s="535"/>
    </row>
    <row r="740" spans="1:11">
      <c r="A740" s="517"/>
      <c r="B740" s="517"/>
      <c r="C740" s="517"/>
      <c r="D740" s="369"/>
      <c r="H740" s="535"/>
      <c r="I740" s="517"/>
      <c r="J740" s="535"/>
      <c r="K740" s="535"/>
    </row>
    <row r="741" spans="1:11">
      <c r="A741" s="1288" t="s">
        <v>1088</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65" customHeight="1">
      <c r="C743" s="517"/>
      <c r="D743" s="1309" t="s">
        <v>1104</v>
      </c>
      <c r="E743" s="1309"/>
      <c r="F743" s="1309"/>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ht="14.4">
      <c r="A746" s="518"/>
      <c r="B746" s="519" t="s">
        <v>2719</v>
      </c>
      <c r="D746" s="1281" t="s">
        <v>1106</v>
      </c>
      <c r="E746" s="1281"/>
      <c r="F746" s="1281"/>
      <c r="G746" s="535"/>
      <c r="H746" s="535"/>
      <c r="I746" s="517" t="s">
        <v>2106</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4">
      <c r="A753" s="537"/>
      <c r="B753" s="519" t="s">
        <v>2719</v>
      </c>
      <c r="C753" s="538"/>
      <c r="D753" s="1281" t="s">
        <v>1348</v>
      </c>
      <c r="E753" s="1281"/>
      <c r="F753" s="1281"/>
      <c r="I753" s="1264" t="s">
        <v>2106</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4">
      <c r="A758" s="518"/>
      <c r="B758" s="519" t="s">
        <v>2720</v>
      </c>
      <c r="C758" s="538"/>
      <c r="D758" s="1283" t="s">
        <v>1349</v>
      </c>
      <c r="E758" s="1283"/>
      <c r="F758" s="1283"/>
      <c r="I758" s="1264" t="s">
        <v>2107</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4">
      <c r="A762" s="518"/>
      <c r="B762" s="519" t="s">
        <v>2720</v>
      </c>
      <c r="D762" s="1281" t="s">
        <v>1304</v>
      </c>
      <c r="E762" s="1281"/>
      <c r="F762" s="1281"/>
      <c r="G762" s="535"/>
      <c r="H762" s="535"/>
      <c r="I762" s="517" t="s">
        <v>2106</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2720</v>
      </c>
      <c r="D765" s="1281" t="s">
        <v>1321</v>
      </c>
      <c r="E765" s="1281"/>
      <c r="F765" s="1281"/>
      <c r="G765" s="535"/>
      <c r="H765" s="535"/>
      <c r="I765" s="517" t="s">
        <v>2106</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1989</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2043</v>
      </c>
      <c r="E771" s="1345"/>
      <c r="F771" s="1345"/>
      <c r="G771" s="3"/>
      <c r="I771" s="524"/>
    </row>
    <row r="772" spans="1:9">
      <c r="A772" s="57"/>
      <c r="B772" s="57"/>
      <c r="C772" s="385"/>
      <c r="D772" s="1314" t="s">
        <v>1942</v>
      </c>
      <c r="E772" s="1314"/>
      <c r="F772" s="1314"/>
      <c r="G772" s="3"/>
      <c r="I772" s="524"/>
    </row>
    <row r="773" spans="1:9">
      <c r="A773" s="57"/>
      <c r="B773" s="57"/>
      <c r="C773" s="385"/>
      <c r="D773" s="481"/>
      <c r="E773" s="481"/>
      <c r="F773" s="481"/>
      <c r="G773" s="3"/>
      <c r="I773" s="524"/>
    </row>
    <row r="774" spans="1:9">
      <c r="A774" s="57"/>
      <c r="B774" s="519" t="s">
        <v>2719</v>
      </c>
      <c r="C774" s="385"/>
      <c r="D774" s="1299" t="s">
        <v>1943</v>
      </c>
      <c r="E774" s="1299"/>
      <c r="F774" s="1299"/>
      <c r="G774" s="3"/>
      <c r="I774" s="517" t="s">
        <v>2156</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2720</v>
      </c>
      <c r="C778" s="172"/>
      <c r="D778" s="1299" t="s">
        <v>1944</v>
      </c>
      <c r="E778" s="1299"/>
      <c r="F778" s="1299"/>
      <c r="G778" s="3"/>
      <c r="I778" s="517" t="s">
        <v>2156</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4">
      <c r="A782" s="176"/>
      <c r="B782" s="519" t="s">
        <v>2720</v>
      </c>
      <c r="C782" s="1024"/>
      <c r="D782" s="1299" t="s">
        <v>1945</v>
      </c>
      <c r="E782" s="1299"/>
      <c r="F782" s="1299"/>
      <c r="G782" s="1023"/>
      <c r="I782" s="517" t="s">
        <v>2156</v>
      </c>
    </row>
    <row r="783" spans="1:9" ht="14.4">
      <c r="A783" s="176"/>
      <c r="B783" s="176"/>
      <c r="C783" s="1024"/>
      <c r="D783" s="1299"/>
      <c r="E783" s="1299"/>
      <c r="F783" s="1299"/>
      <c r="G783" s="1023"/>
      <c r="I783" s="524"/>
    </row>
    <row r="784" spans="1:9" ht="14.4">
      <c r="A784" s="176"/>
      <c r="B784" s="176"/>
      <c r="C784" s="1024"/>
      <c r="D784" s="1299"/>
      <c r="E784" s="1299"/>
      <c r="F784" s="1299"/>
      <c r="G784" s="1023"/>
      <c r="I784" s="524"/>
    </row>
    <row r="785" spans="1:9" ht="14.4">
      <c r="A785" s="176"/>
      <c r="B785" s="176"/>
      <c r="C785" s="1024"/>
      <c r="D785" s="118"/>
      <c r="E785" s="3"/>
      <c r="F785" s="3"/>
      <c r="G785" s="1023"/>
      <c r="I785" s="524"/>
    </row>
    <row r="786" spans="1:9" ht="14.4">
      <c r="A786" s="176"/>
      <c r="B786" s="519" t="s">
        <v>2720</v>
      </c>
      <c r="C786" s="1024"/>
      <c r="D786" s="1299" t="s">
        <v>1946</v>
      </c>
      <c r="E786" s="1299"/>
      <c r="F786" s="1299"/>
      <c r="G786" s="1023"/>
      <c r="I786" s="517" t="s">
        <v>2156</v>
      </c>
    </row>
    <row r="787" spans="1:9" ht="14.4">
      <c r="A787" s="176"/>
      <c r="B787" s="176"/>
      <c r="C787" s="1024"/>
      <c r="D787" s="1299"/>
      <c r="E787" s="1299"/>
      <c r="F787" s="1299"/>
      <c r="G787" s="1023"/>
      <c r="I787" s="524"/>
    </row>
    <row r="788" spans="1:9" ht="14.4">
      <c r="A788" s="176"/>
      <c r="B788" s="176"/>
      <c r="C788" s="1024"/>
      <c r="D788" s="1299"/>
      <c r="E788" s="1299"/>
      <c r="F788" s="1299"/>
      <c r="G788" s="1023"/>
      <c r="I788" s="524"/>
    </row>
    <row r="789" spans="1:9" ht="14.4">
      <c r="A789" s="176"/>
      <c r="B789" s="176"/>
      <c r="C789" s="1024"/>
      <c r="D789" s="1299"/>
      <c r="E789" s="1299"/>
      <c r="F789" s="1299"/>
      <c r="G789" s="1023"/>
      <c r="I789" s="524"/>
    </row>
    <row r="790" spans="1:9" ht="14.4">
      <c r="A790" s="176"/>
      <c r="B790" s="176"/>
      <c r="C790" s="1024"/>
      <c r="D790" s="1299"/>
      <c r="E790" s="1299"/>
      <c r="F790" s="1299"/>
      <c r="G790" s="1023"/>
      <c r="I790" s="524"/>
    </row>
    <row r="791" spans="1:9" ht="14.4">
      <c r="A791" s="176"/>
      <c r="B791" s="176"/>
      <c r="C791" s="1024"/>
      <c r="D791" s="1299"/>
      <c r="E791" s="1299"/>
      <c r="F791" s="1299"/>
      <c r="G791" s="1023"/>
      <c r="I791" s="524"/>
    </row>
    <row r="792" spans="1:9" ht="14.4">
      <c r="A792" s="176"/>
      <c r="B792" s="176"/>
      <c r="C792" s="1024"/>
      <c r="D792" s="1299" t="s">
        <v>1990</v>
      </c>
      <c r="E792" s="1299"/>
      <c r="F792" s="1299"/>
      <c r="G792" s="1023"/>
      <c r="I792" s="524"/>
    </row>
    <row r="793" spans="1:9" ht="14.4">
      <c r="A793" s="176"/>
      <c r="B793" s="176"/>
      <c r="C793" s="1024"/>
      <c r="D793" s="1299"/>
      <c r="E793" s="1299"/>
      <c r="F793" s="1299"/>
      <c r="G793" s="1023"/>
      <c r="I793" s="524"/>
    </row>
    <row r="794" spans="1:9" ht="14.4">
      <c r="A794" s="176"/>
      <c r="B794" s="176"/>
      <c r="C794" s="1024"/>
      <c r="D794" s="1299"/>
      <c r="E794" s="1299"/>
      <c r="F794" s="1299"/>
      <c r="G794" s="1023"/>
      <c r="I794" s="524"/>
    </row>
    <row r="795" spans="1:9" ht="14.4">
      <c r="A795" s="176"/>
      <c r="B795" s="385"/>
      <c r="C795" s="1024"/>
      <c r="D795" s="1025"/>
      <c r="E795" s="1025"/>
      <c r="F795" s="1025"/>
      <c r="G795" s="1023"/>
      <c r="I795" s="524"/>
    </row>
    <row r="796" spans="1:9" ht="14.4">
      <c r="A796" s="176"/>
      <c r="B796" s="519" t="s">
        <v>2720</v>
      </c>
      <c r="C796" s="1024"/>
      <c r="D796" s="1299" t="s">
        <v>1947</v>
      </c>
      <c r="E796" s="1299"/>
      <c r="F796" s="1299"/>
      <c r="G796" s="1023"/>
      <c r="I796" s="517" t="s">
        <v>2156</v>
      </c>
    </row>
    <row r="797" spans="1:9" ht="14.4">
      <c r="A797" s="176"/>
      <c r="B797" s="176"/>
      <c r="C797" s="1024"/>
      <c r="D797" s="1299"/>
      <c r="E797" s="1299"/>
      <c r="F797" s="1299"/>
      <c r="G797" s="1023"/>
      <c r="I797" s="524"/>
    </row>
    <row r="798" spans="1:9" ht="14.4">
      <c r="A798" s="176"/>
      <c r="B798" s="176"/>
      <c r="C798" s="1024"/>
      <c r="D798" s="1299"/>
      <c r="E798" s="1299"/>
      <c r="F798" s="1299"/>
      <c r="G798" s="1023"/>
      <c r="I798" s="524"/>
    </row>
    <row r="799" spans="1:9" ht="14.4">
      <c r="A799" s="176"/>
      <c r="B799" s="176"/>
      <c r="C799" s="1024"/>
      <c r="D799" s="1299"/>
      <c r="E799" s="1299"/>
      <c r="F799" s="1299"/>
      <c r="G799" s="1023"/>
      <c r="I799" s="524"/>
    </row>
    <row r="800" spans="1:9" ht="14.4">
      <c r="A800" s="176"/>
      <c r="B800" s="176"/>
      <c r="C800" s="1024"/>
      <c r="D800" s="1299"/>
      <c r="E800" s="1299"/>
      <c r="F800" s="1299"/>
      <c r="G800" s="1023"/>
      <c r="I800" s="524"/>
    </row>
    <row r="801" spans="1:9" ht="14.4">
      <c r="A801" s="176"/>
      <c r="B801" s="176"/>
      <c r="C801" s="1024"/>
      <c r="D801" s="1299"/>
      <c r="E801" s="1299"/>
      <c r="F801" s="1299"/>
      <c r="G801" s="1023"/>
      <c r="I801" s="524"/>
    </row>
    <row r="802" spans="1:9" ht="14.4">
      <c r="A802" s="176"/>
      <c r="B802" s="176"/>
      <c r="C802" s="1024"/>
      <c r="D802" s="1017"/>
      <c r="E802" s="1017"/>
      <c r="F802" s="1017"/>
      <c r="G802" s="1023"/>
      <c r="I802" s="524"/>
    </row>
    <row r="803" spans="1:9" ht="14.4">
      <c r="A803" s="176"/>
      <c r="B803" s="519" t="s">
        <v>2720</v>
      </c>
      <c r="C803" s="1024"/>
      <c r="D803" s="1299" t="s">
        <v>1948</v>
      </c>
      <c r="E803" s="1299"/>
      <c r="F803" s="1299"/>
      <c r="G803" s="1023"/>
      <c r="I803" s="517" t="s">
        <v>2156</v>
      </c>
    </row>
    <row r="804" spans="1:9" ht="14.4">
      <c r="A804" s="176"/>
      <c r="B804" s="176"/>
      <c r="C804" s="1024"/>
      <c r="D804" s="1299"/>
      <c r="E804" s="1299"/>
      <c r="F804" s="1299"/>
      <c r="G804" s="1023"/>
      <c r="I804" s="524"/>
    </row>
    <row r="805" spans="1:9" ht="14.4">
      <c r="A805" s="176"/>
      <c r="B805" s="176"/>
      <c r="C805" s="1024"/>
      <c r="D805" s="1299"/>
      <c r="E805" s="1299"/>
      <c r="F805" s="1299"/>
      <c r="G805" s="1023"/>
      <c r="I805" s="524"/>
    </row>
    <row r="806" spans="1:9" ht="14.4">
      <c r="A806" s="176"/>
      <c r="B806" s="176"/>
      <c r="C806" s="1024"/>
      <c r="D806" s="1299"/>
      <c r="E806" s="1299"/>
      <c r="F806" s="1299"/>
      <c r="G806" s="1023"/>
      <c r="I806" s="524"/>
    </row>
    <row r="807" spans="1:9" ht="14.4">
      <c r="A807" s="176"/>
      <c r="B807" s="176"/>
      <c r="C807" s="1024"/>
      <c r="D807" s="1299"/>
      <c r="E807" s="1299"/>
      <c r="F807" s="1299"/>
      <c r="G807" s="1023"/>
      <c r="I807" s="524"/>
    </row>
    <row r="808" spans="1:9" ht="14.4">
      <c r="A808" s="176"/>
      <c r="B808" s="176"/>
      <c r="C808" s="1024"/>
      <c r="D808" s="1299"/>
      <c r="E808" s="1299"/>
      <c r="F808" s="1299"/>
      <c r="G808" s="1023"/>
      <c r="I808" s="524"/>
    </row>
    <row r="809" spans="1:9" ht="14.4">
      <c r="A809" s="176"/>
      <c r="B809" s="176"/>
      <c r="C809" s="1024"/>
      <c r="D809" s="1017"/>
      <c r="E809" s="1017"/>
      <c r="F809" s="1017"/>
      <c r="G809" s="1023"/>
      <c r="I809" s="524"/>
    </row>
    <row r="810" spans="1:9" ht="14.4">
      <c r="A810" s="176"/>
      <c r="B810" s="519" t="s">
        <v>2720</v>
      </c>
      <c r="C810" s="1024"/>
      <c r="D810" s="1307" t="s">
        <v>1949</v>
      </c>
      <c r="E810" s="1307"/>
      <c r="F810" s="1307"/>
      <c r="G810" s="1023"/>
      <c r="I810" s="517" t="s">
        <v>2156</v>
      </c>
    </row>
    <row r="811" spans="1:9" ht="14.4">
      <c r="A811" s="176"/>
      <c r="B811" s="176"/>
      <c r="C811" s="1024"/>
      <c r="D811" s="1307"/>
      <c r="E811" s="1307"/>
      <c r="F811" s="1307"/>
      <c r="G811" s="1023"/>
      <c r="I811" s="524"/>
    </row>
    <row r="812" spans="1:9">
      <c r="A812" s="13"/>
      <c r="B812" s="13"/>
      <c r="C812" s="1024"/>
      <c r="D812" s="1307"/>
      <c r="E812" s="1307"/>
      <c r="F812" s="1307"/>
      <c r="G812" s="1023"/>
      <c r="I812" s="524"/>
    </row>
    <row r="813" spans="1:9" ht="14.4">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1950</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1991</v>
      </c>
      <c r="E819" s="1298"/>
      <c r="F819" s="1298"/>
      <c r="G819" s="3"/>
      <c r="I819" s="524"/>
    </row>
    <row r="820" spans="1:9" ht="14.25" customHeight="1">
      <c r="A820" s="176"/>
      <c r="B820" s="176"/>
      <c r="C820" s="385"/>
      <c r="D820" s="1266" t="s">
        <v>1951</v>
      </c>
      <c r="E820" s="1266"/>
      <c r="F820" s="1266"/>
      <c r="G820" s="3"/>
      <c r="I820" s="524"/>
    </row>
    <row r="821" spans="1:9" ht="12.75" customHeight="1">
      <c r="A821" s="176"/>
      <c r="B821" s="176"/>
      <c r="C821" s="385"/>
      <c r="D821" s="474"/>
      <c r="E821" s="474"/>
      <c r="F821" s="474"/>
      <c r="G821" s="3"/>
      <c r="I821" s="524"/>
    </row>
    <row r="822" spans="1:9" ht="12.75" customHeight="1">
      <c r="A822" s="385"/>
      <c r="B822" s="519" t="s">
        <v>2719</v>
      </c>
      <c r="C822" s="1024"/>
      <c r="D822" s="1266" t="s">
        <v>1952</v>
      </c>
      <c r="E822" s="1266"/>
      <c r="F822" s="1266"/>
      <c r="G822" s="3"/>
      <c r="I822" s="524" t="s">
        <v>2124</v>
      </c>
    </row>
    <row r="823" spans="1:9" ht="14.25" customHeight="1">
      <c r="A823" s="13"/>
      <c r="B823" s="13"/>
      <c r="C823" s="1024"/>
      <c r="E823" s="1071" t="s">
        <v>2193</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2389</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2719</v>
      </c>
      <c r="C836" s="1024"/>
      <c r="D836" s="1266" t="s">
        <v>1953</v>
      </c>
      <c r="E836" s="1266"/>
      <c r="F836" s="1266"/>
      <c r="G836" s="3"/>
      <c r="I836" s="524" t="s">
        <v>2142</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2720</v>
      </c>
      <c r="C840" s="1024"/>
      <c r="D840" s="1298" t="s">
        <v>1954</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2380</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2720</v>
      </c>
      <c r="C849" s="1024"/>
      <c r="D849" s="1266" t="s">
        <v>1955</v>
      </c>
      <c r="E849" s="1266"/>
      <c r="F849" s="1266"/>
      <c r="G849" s="3"/>
      <c r="I849" s="524" t="s">
        <v>2125</v>
      </c>
    </row>
    <row r="850" spans="1:9" ht="12.75" customHeight="1">
      <c r="A850" s="176"/>
      <c r="B850" s="176"/>
      <c r="C850" s="1024"/>
      <c r="D850" s="1266" t="s">
        <v>1956</v>
      </c>
      <c r="E850" s="1266"/>
      <c r="F850" s="1266"/>
      <c r="G850" s="3"/>
      <c r="I850" s="524"/>
    </row>
    <row r="851" spans="1:9" ht="12.75" customHeight="1">
      <c r="A851" s="176"/>
      <c r="B851" s="176"/>
      <c r="C851" s="1024"/>
      <c r="E851" s="1071" t="s">
        <v>2195</v>
      </c>
      <c r="F851" s="1073"/>
      <c r="G851" s="3"/>
      <c r="I851" s="524"/>
    </row>
    <row r="852" spans="1:9" ht="12.75" customHeight="1">
      <c r="A852" s="176"/>
      <c r="B852" s="176"/>
      <c r="C852" s="1024"/>
      <c r="D852" s="118"/>
      <c r="E852" s="3"/>
      <c r="F852" s="3"/>
      <c r="G852" s="3"/>
      <c r="I852" s="524"/>
    </row>
    <row r="853" spans="1:9" ht="12.75" customHeight="1">
      <c r="A853" s="176"/>
      <c r="B853" s="519" t="s">
        <v>2720</v>
      </c>
      <c r="C853" s="1024"/>
      <c r="D853" s="1266" t="s">
        <v>1957</v>
      </c>
      <c r="E853" s="1266"/>
      <c r="F853" s="1266"/>
      <c r="G853" s="3"/>
      <c r="I853" s="524" t="s">
        <v>2143</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1958</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1992</v>
      </c>
      <c r="E860" s="1285"/>
      <c r="F860" s="1285"/>
      <c r="G860" s="1023"/>
      <c r="I860" s="524"/>
    </row>
    <row r="861" spans="1:9" ht="12.75" customHeight="1">
      <c r="A861" s="385"/>
      <c r="B861" s="385"/>
      <c r="C861" s="175"/>
      <c r="D861" s="1342" t="s">
        <v>1959</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2719</v>
      </c>
      <c r="C863" s="385"/>
      <c r="D863" s="1286" t="s">
        <v>1960</v>
      </c>
      <c r="E863" s="1286"/>
      <c r="F863" s="1286"/>
      <c r="G863" s="1023"/>
      <c r="I863" s="524" t="s">
        <v>2125</v>
      </c>
    </row>
    <row r="864" spans="1:9" ht="12.75" customHeight="1">
      <c r="A864" s="385"/>
      <c r="B864" s="385"/>
      <c r="C864" s="385"/>
      <c r="D864" s="2" t="s">
        <v>1935</v>
      </c>
      <c r="E864" s="1071" t="s">
        <v>2195</v>
      </c>
      <c r="F864" s="1074"/>
      <c r="G864" s="1023"/>
      <c r="I864" s="524"/>
    </row>
    <row r="865" spans="1:9" ht="12.75" customHeight="1">
      <c r="A865" s="385"/>
      <c r="B865" s="385"/>
      <c r="C865" s="385"/>
      <c r="D865" s="118"/>
      <c r="E865" s="1023"/>
      <c r="F865" s="1023"/>
      <c r="G865" s="1023"/>
      <c r="I865" s="524"/>
    </row>
    <row r="866" spans="1:9" ht="12.75" customHeight="1">
      <c r="A866" s="176"/>
      <c r="B866" s="519" t="s">
        <v>2719</v>
      </c>
      <c r="C866" s="385"/>
      <c r="D866" s="1266" t="s">
        <v>1961</v>
      </c>
      <c r="E866" s="1315"/>
      <c r="F866" s="1315"/>
      <c r="G866" s="3"/>
      <c r="I866" s="524" t="s">
        <v>2143</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2720</v>
      </c>
      <c r="C869" s="385"/>
      <c r="D869" s="1346" t="s">
        <v>1962</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2380</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2720</v>
      </c>
      <c r="C878" s="385"/>
      <c r="D878" s="1290" t="s">
        <v>1955</v>
      </c>
      <c r="E878" s="1290"/>
      <c r="F878" s="1290"/>
      <c r="G878" s="1023"/>
      <c r="I878" s="524" t="s">
        <v>2125</v>
      </c>
    </row>
    <row r="879" spans="1:9" ht="12.75" customHeight="1">
      <c r="A879" s="176"/>
      <c r="B879" s="176"/>
      <c r="C879" s="385"/>
      <c r="D879" s="1290" t="s">
        <v>1956</v>
      </c>
      <c r="E879" s="1290"/>
      <c r="F879" s="1290"/>
      <c r="G879" s="1023"/>
      <c r="I879" s="524"/>
    </row>
    <row r="880" spans="1:9" ht="12.75" customHeight="1">
      <c r="A880" s="176"/>
      <c r="B880" s="176"/>
      <c r="C880" s="385"/>
      <c r="D880" s="2" t="s">
        <v>1380</v>
      </c>
      <c r="E880" s="1071" t="s">
        <v>2195</v>
      </c>
      <c r="F880" s="1075"/>
      <c r="G880" s="1023"/>
      <c r="I880" s="524"/>
    </row>
    <row r="881" spans="1:9" ht="12.75" customHeight="1">
      <c r="A881" s="176"/>
      <c r="B881" s="176"/>
      <c r="C881" s="385"/>
      <c r="D881" s="118"/>
      <c r="E881" s="1023"/>
      <c r="F881" s="1023"/>
      <c r="G881" s="1023"/>
      <c r="I881" s="524"/>
    </row>
    <row r="882" spans="1:9" ht="12.75" customHeight="1">
      <c r="A882" s="176"/>
      <c r="B882" s="519" t="s">
        <v>2720</v>
      </c>
      <c r="C882" s="385"/>
      <c r="D882" s="1266" t="s">
        <v>1957</v>
      </c>
      <c r="E882" s="1266"/>
      <c r="F882" s="1266"/>
      <c r="G882" s="1023"/>
      <c r="I882" s="524" t="s">
        <v>2143</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1993</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1999</v>
      </c>
      <c r="E889" s="1300"/>
      <c r="F889" s="1300"/>
      <c r="G889" s="57"/>
      <c r="I889" s="524"/>
    </row>
    <row r="890" spans="1:9" ht="12.75" customHeight="1">
      <c r="A890" s="57"/>
      <c r="B890" s="57"/>
      <c r="C890" s="57"/>
      <c r="D890" s="1016"/>
      <c r="E890" s="1016"/>
      <c r="F890" s="1016"/>
      <c r="G890" s="57"/>
      <c r="I890" s="524"/>
    </row>
    <row r="891" spans="1:9" ht="12.75" customHeight="1">
      <c r="A891" s="57"/>
      <c r="B891" s="519" t="s">
        <v>2719</v>
      </c>
      <c r="C891" s="57"/>
      <c r="D891" s="1019" t="s">
        <v>2000</v>
      </c>
      <c r="E891" s="1016"/>
      <c r="F891" s="1016"/>
      <c r="G891" s="57"/>
      <c r="I891" s="524" t="s">
        <v>2157</v>
      </c>
    </row>
    <row r="892" spans="1:9" ht="12.75" customHeight="1">
      <c r="A892" s="57"/>
      <c r="B892" s="57"/>
      <c r="C892" s="57"/>
      <c r="D892" s="1016"/>
      <c r="E892" s="1016"/>
      <c r="F892" s="1016"/>
      <c r="G892" s="57"/>
      <c r="I892" s="524"/>
    </row>
    <row r="893" spans="1:9" ht="12.75" customHeight="1">
      <c r="A893" s="385"/>
      <c r="B893" s="385"/>
      <c r="C893" s="1024"/>
      <c r="D893" s="1300" t="s">
        <v>1994</v>
      </c>
      <c r="E893" s="1300"/>
      <c r="F893" s="1300"/>
      <c r="G893" s="1023"/>
      <c r="I893" s="524"/>
    </row>
    <row r="894" spans="1:9" ht="12.75" customHeight="1">
      <c r="A894" s="172"/>
      <c r="B894" s="172"/>
      <c r="C894" s="172"/>
      <c r="D894" s="1286" t="s">
        <v>1963</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2719</v>
      </c>
      <c r="C896" s="385"/>
      <c r="D896" s="1266" t="s">
        <v>1967</v>
      </c>
      <c r="E896" s="1266"/>
      <c r="F896" s="1266"/>
      <c r="G896" s="3"/>
      <c r="I896" s="524" t="s">
        <v>2109</v>
      </c>
    </row>
    <row r="897" spans="1:9" ht="12.75" customHeight="1">
      <c r="A897" s="385"/>
      <c r="B897" s="385"/>
      <c r="C897" s="385"/>
      <c r="D897" s="1266"/>
      <c r="E897" s="1266"/>
      <c r="F897" s="1266"/>
      <c r="G897" s="3"/>
      <c r="I897" s="524"/>
    </row>
    <row r="898" spans="1:9" ht="12.75" customHeight="1">
      <c r="A898" s="172"/>
      <c r="B898" s="172"/>
      <c r="C898" s="172"/>
      <c r="D898" s="1266" t="s">
        <v>1966</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2719</v>
      </c>
      <c r="C901" s="175"/>
      <c r="D901" s="1270" t="s">
        <v>1964</v>
      </c>
      <c r="E901" s="1270"/>
      <c r="F901" s="1270"/>
      <c r="G901" s="1023"/>
      <c r="I901" s="524" t="s">
        <v>2108</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2720</v>
      </c>
      <c r="C910" s="1024"/>
      <c r="D910" s="1266" t="s">
        <v>1968</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2720</v>
      </c>
      <c r="C913" s="1024"/>
      <c r="D913" s="1307" t="s">
        <v>1969</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2720</v>
      </c>
      <c r="C918" s="1024"/>
      <c r="D918" s="1286" t="s">
        <v>2381</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2720</v>
      </c>
      <c r="C920" s="1024"/>
      <c r="D920" s="1286" t="s">
        <v>2382</v>
      </c>
      <c r="E920" s="1286"/>
      <c r="F920" s="1286"/>
      <c r="G920" s="1023"/>
      <c r="I920" s="524"/>
    </row>
    <row r="921" spans="1:9" ht="12.75" customHeight="1">
      <c r="A921" s="175"/>
      <c r="B921" s="175"/>
      <c r="C921" s="175"/>
      <c r="D921" s="2"/>
      <c r="E921" s="3"/>
      <c r="F921" s="1023"/>
      <c r="G921" s="1023"/>
      <c r="I921" s="524"/>
    </row>
    <row r="922" spans="1:9" ht="12.75" customHeight="1">
      <c r="A922" s="1032"/>
      <c r="B922" s="519" t="s">
        <v>2719</v>
      </c>
      <c r="C922" s="1033"/>
      <c r="D922" s="1270" t="s">
        <v>1965</v>
      </c>
      <c r="E922" s="1270"/>
      <c r="F922" s="1270"/>
      <c r="G922" s="1034"/>
      <c r="I922" s="524" t="s">
        <v>2158</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2719</v>
      </c>
      <c r="C932" s="175"/>
      <c r="D932" s="1347" t="s">
        <v>2160</v>
      </c>
      <c r="E932" s="1347"/>
      <c r="F932" s="1347"/>
      <c r="G932" s="1023"/>
      <c r="I932" s="524" t="s">
        <v>2158</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2719</v>
      </c>
      <c r="C940" s="175"/>
      <c r="D940" s="1269" t="s">
        <v>2454</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2720</v>
      </c>
      <c r="C947" s="1024"/>
      <c r="D947" s="1307" t="s">
        <v>1970</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2720</v>
      </c>
      <c r="C952" s="175"/>
      <c r="D952" s="1270" t="s">
        <v>2159</v>
      </c>
      <c r="E952" s="1270"/>
      <c r="F952" s="1270"/>
      <c r="G952" s="1023"/>
      <c r="I952" s="524" t="s">
        <v>2158</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1971</v>
      </c>
      <c r="E957" s="1285"/>
      <c r="F957" s="1285"/>
      <c r="G957" s="3"/>
      <c r="I957" s="524"/>
    </row>
    <row r="958" spans="1:9" ht="12.75" customHeight="1">
      <c r="A958" s="176"/>
      <c r="B958" s="519" t="s">
        <v>2720</v>
      </c>
      <c r="C958" s="385"/>
      <c r="D958" s="1286" t="s">
        <v>1995</v>
      </c>
      <c r="E958" s="1286"/>
      <c r="F958" s="1286"/>
      <c r="G958" s="3"/>
      <c r="I958" s="524" t="s">
        <v>2158</v>
      </c>
    </row>
    <row r="959" spans="1:9" ht="12.75" customHeight="1">
      <c r="A959" s="385"/>
      <c r="B959" s="385"/>
      <c r="C959" s="385"/>
      <c r="D959" s="3"/>
      <c r="E959" s="3"/>
      <c r="F959" s="3"/>
      <c r="G959" s="3"/>
      <c r="I959" s="524"/>
    </row>
    <row r="960" spans="1:9" ht="12.75" customHeight="1">
      <c r="A960" s="385"/>
      <c r="B960" s="385"/>
      <c r="C960" s="385"/>
      <c r="D960" s="1285" t="s">
        <v>1972</v>
      </c>
      <c r="E960" s="1285"/>
      <c r="F960" s="1285"/>
      <c r="G960"/>
      <c r="I960" s="524"/>
    </row>
    <row r="961" spans="1:9" ht="12.75" customHeight="1">
      <c r="A961" s="176"/>
      <c r="B961" s="519" t="s">
        <v>2720</v>
      </c>
      <c r="C961" s="385"/>
      <c r="D961" s="1266" t="s">
        <v>2383</v>
      </c>
      <c r="E961" s="1266"/>
      <c r="F961" s="1266"/>
      <c r="G961"/>
      <c r="I961" s="524" t="s">
        <v>2158</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1973</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1996</v>
      </c>
      <c r="E979" s="1285"/>
      <c r="F979" s="1285"/>
      <c r="G979" s="3"/>
      <c r="I979" s="524"/>
    </row>
    <row r="980" spans="1:9" ht="12.75" customHeight="1">
      <c r="A980" s="172"/>
      <c r="B980" s="172"/>
      <c r="C980" s="172"/>
      <c r="D980" s="1286" t="s">
        <v>1974</v>
      </c>
      <c r="E980" s="1286"/>
      <c r="F980" s="1286"/>
      <c r="G980" s="3"/>
      <c r="I980" s="524"/>
    </row>
    <row r="981" spans="1:9" ht="12.75" customHeight="1">
      <c r="A981" s="172"/>
      <c r="B981" s="172"/>
      <c r="C981" s="172"/>
      <c r="D981" s="3"/>
      <c r="E981" s="3"/>
      <c r="F981" s="1023"/>
      <c r="G981"/>
      <c r="I981" s="524"/>
    </row>
    <row r="982" spans="1:9" ht="12.75" customHeight="1">
      <c r="A982" s="385"/>
      <c r="B982" s="519" t="s">
        <v>2719</v>
      </c>
      <c r="C982" s="385"/>
      <c r="D982" s="1349" t="s">
        <v>2213</v>
      </c>
      <c r="E982" s="1349"/>
      <c r="F982" s="1349"/>
      <c r="G982"/>
      <c r="I982" s="524" t="s">
        <v>2138</v>
      </c>
    </row>
    <row r="983" spans="1:9" ht="12.75" customHeight="1">
      <c r="A983" s="385"/>
      <c r="B983" s="385"/>
      <c r="C983" s="385"/>
      <c r="D983" s="1349"/>
      <c r="E983" s="1349"/>
      <c r="F983" s="1349"/>
      <c r="G983"/>
      <c r="I983" s="524"/>
    </row>
    <row r="984" spans="1:9" ht="12.75" customHeight="1">
      <c r="A984" s="385"/>
      <c r="B984" s="385"/>
      <c r="C984" s="385"/>
      <c r="D984" s="1073"/>
      <c r="E984" s="1071" t="s">
        <v>2214</v>
      </c>
      <c r="F984" s="1073"/>
      <c r="G984"/>
      <c r="I984" s="524"/>
    </row>
    <row r="985" spans="1:9" ht="12.75" customHeight="1">
      <c r="A985" s="385"/>
      <c r="B985" s="385"/>
      <c r="C985" s="385"/>
      <c r="D985" s="1272" t="s">
        <v>2212</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2720</v>
      </c>
      <c r="C990" s="175"/>
      <c r="D990" s="1266" t="s">
        <v>1975</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2720</v>
      </c>
      <c r="C995" s="175"/>
      <c r="D995" s="1266" t="s">
        <v>1976</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2720</v>
      </c>
      <c r="C998" s="385"/>
      <c r="D998" s="1286" t="s">
        <v>1977</v>
      </c>
      <c r="E998" s="1286"/>
      <c r="F998" s="1286"/>
      <c r="G998"/>
      <c r="I998" s="524"/>
    </row>
    <row r="999" spans="1:9" ht="12.75" customHeight="1">
      <c r="A999" s="385"/>
      <c r="B999" s="385"/>
      <c r="C999" s="385"/>
      <c r="D999" s="3"/>
      <c r="E999" s="3"/>
      <c r="F999" s="3"/>
      <c r="G999"/>
      <c r="I999" s="524"/>
    </row>
    <row r="1000" spans="1:9" ht="12.75" customHeight="1">
      <c r="A1000" s="176"/>
      <c r="B1000" s="519" t="s">
        <v>2720</v>
      </c>
      <c r="C1000" s="385"/>
      <c r="D1000" s="1286" t="s">
        <v>1978</v>
      </c>
      <c r="E1000" s="1286"/>
      <c r="F1000" s="1286"/>
      <c r="G1000"/>
      <c r="I1000" s="524"/>
    </row>
    <row r="1001" spans="1:9" ht="12.75" customHeight="1">
      <c r="A1001" s="385"/>
      <c r="B1001" s="385"/>
      <c r="C1001" s="385"/>
      <c r="D1001" s="118"/>
      <c r="E1001" s="3"/>
      <c r="F1001" s="3"/>
      <c r="G1001"/>
      <c r="I1001" s="524"/>
    </row>
    <row r="1002" spans="1:9" ht="12.75" customHeight="1">
      <c r="A1002" s="176"/>
      <c r="B1002" s="519" t="s">
        <v>308</v>
      </c>
      <c r="C1002" s="385"/>
      <c r="D1002" s="1286" t="s">
        <v>1979</v>
      </c>
      <c r="E1002" s="1286"/>
      <c r="F1002" s="1286"/>
      <c r="G1002"/>
      <c r="I1002" s="524"/>
    </row>
    <row r="1003" spans="1:9" ht="12.75" customHeight="1">
      <c r="A1003" s="385"/>
      <c r="B1003" s="385"/>
      <c r="C1003" s="385"/>
      <c r="D1003" s="118"/>
      <c r="E1003" s="3"/>
      <c r="F1003" s="3"/>
      <c r="G1003"/>
      <c r="I1003" s="524"/>
    </row>
    <row r="1004" spans="1:9" ht="12.75" customHeight="1">
      <c r="A1004" s="176"/>
      <c r="B1004" s="519" t="s">
        <v>308</v>
      </c>
      <c r="C1004" s="385"/>
      <c r="D1004" s="1266" t="s">
        <v>1980</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2720</v>
      </c>
      <c r="C1007" s="1035"/>
      <c r="D1007" s="1299" t="s">
        <v>1981</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2720</v>
      </c>
      <c r="C1010" s="1035"/>
      <c r="D1010" s="1348" t="s">
        <v>1982</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2720</v>
      </c>
      <c r="C1012" s="385"/>
      <c r="D1012" s="1286" t="s">
        <v>1983</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2720</v>
      </c>
      <c r="C1014" s="385"/>
      <c r="D1014" s="1266" t="s">
        <v>1984</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1985</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1986</v>
      </c>
      <c r="E1019" s="1300"/>
      <c r="F1019" s="1300"/>
      <c r="G1019" s="3"/>
      <c r="I1019" s="524"/>
    </row>
    <row r="1020" spans="1:9" ht="12.75" customHeight="1">
      <c r="A1020" s="385"/>
      <c r="B1020" s="385"/>
      <c r="C1020" s="385"/>
      <c r="D1020" s="1348" t="s">
        <v>1987</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2001</v>
      </c>
      <c r="E1022" s="1300"/>
      <c r="F1022" s="1300"/>
      <c r="G1022" s="3"/>
      <c r="I1022" s="524" t="s">
        <v>2110</v>
      </c>
    </row>
    <row r="1023" spans="1:9" ht="12.75" customHeight="1">
      <c r="A1023" s="385"/>
      <c r="B1023" s="519" t="s">
        <v>2719</v>
      </c>
      <c r="C1023" s="385"/>
      <c r="D1023" s="1348" t="s">
        <v>1381</v>
      </c>
      <c r="E1023" s="1348"/>
      <c r="F1023" s="1348"/>
      <c r="G1023" s="3"/>
      <c r="I1023" s="524"/>
    </row>
    <row r="1024" spans="1:9" ht="12.75" customHeight="1">
      <c r="A1024" s="385"/>
      <c r="B1024" s="176"/>
      <c r="C1024" s="385"/>
      <c r="D1024" s="1348" t="s">
        <v>1988</v>
      </c>
      <c r="E1024" s="1348"/>
      <c r="F1024" s="1348"/>
      <c r="G1024" s="3"/>
      <c r="I1024" s="524"/>
    </row>
    <row r="1025" spans="1:9" ht="12.75" customHeight="1">
      <c r="A1025" s="385"/>
      <c r="B1025" s="385"/>
      <c r="C1025" s="385"/>
      <c r="D1025" s="1348"/>
      <c r="E1025" s="1348"/>
      <c r="F1025" s="1348"/>
      <c r="G1025" s="3"/>
      <c r="I1025" s="524"/>
    </row>
    <row r="1026" spans="1:9" ht="12.75" customHeight="1">
      <c r="A1026" s="1294" t="s">
        <v>1997</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1382</v>
      </c>
      <c r="E1028" s="1295"/>
      <c r="F1028" s="1295"/>
      <c r="G1028" s="3"/>
      <c r="I1028" s="524"/>
    </row>
    <row r="1029" spans="1:9" ht="12.75" hidden="1" customHeight="1">
      <c r="A1029" s="118"/>
      <c r="B1029" s="519" t="s">
        <v>308</v>
      </c>
      <c r="D1029" s="1280" t="s">
        <v>1381</v>
      </c>
      <c r="E1029" s="1280"/>
      <c r="F1029" s="1280"/>
      <c r="G1029" s="3"/>
      <c r="I1029" s="524"/>
    </row>
    <row r="1030" spans="1:9" ht="12.75" hidden="1" customHeight="1">
      <c r="A1030" s="118"/>
      <c r="B1030" s="433"/>
      <c r="D1030" s="1280" t="s">
        <v>1998</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1095</v>
      </c>
      <c r="E1032" s="1354"/>
      <c r="F1032" s="1354"/>
      <c r="G1032" s="3"/>
      <c r="I1032" s="524" t="s">
        <v>2139</v>
      </c>
    </row>
    <row r="1033" spans="1:9" ht="12.75" customHeight="1">
      <c r="A1033" s="345"/>
      <c r="B1033" s="345"/>
      <c r="C1033" s="345"/>
      <c r="D1033" s="1290" t="s">
        <v>1112</v>
      </c>
      <c r="E1033" s="1290"/>
      <c r="F1033" s="1290"/>
      <c r="G1033" s="98"/>
      <c r="I1033" s="524"/>
    </row>
    <row r="1034" spans="1:9" ht="12.75" customHeight="1">
      <c r="A1034" s="176"/>
      <c r="B1034" s="519" t="s">
        <v>2720</v>
      </c>
      <c r="C1034" s="385"/>
      <c r="D1034" s="1290" t="s">
        <v>1005</v>
      </c>
      <c r="E1034" s="1290"/>
      <c r="F1034" s="1290"/>
      <c r="G1034" s="3"/>
      <c r="I1034" s="524"/>
    </row>
    <row r="1035" spans="1:9" ht="12.75" customHeight="1">
      <c r="A1035" s="385"/>
      <c r="B1035" s="385"/>
      <c r="C1035" s="385"/>
      <c r="D1035" s="1071" t="s">
        <v>2215</v>
      </c>
      <c r="E1035" s="96"/>
      <c r="F1035" s="96"/>
      <c r="G1035" s="3"/>
      <c r="I1035" s="524"/>
    </row>
    <row r="1036" spans="1:9">
      <c r="A1036" s="433"/>
      <c r="B1036" s="433"/>
      <c r="C1036" s="433"/>
      <c r="I1036" s="524"/>
    </row>
    <row r="1037" spans="1:9">
      <c r="A1037" s="1294" t="s">
        <v>2018</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2720</v>
      </c>
      <c r="C1042" s="433"/>
      <c r="D1042" s="1351" t="s">
        <v>2002</v>
      </c>
      <c r="E1042" s="1351"/>
      <c r="F1042" s="1351"/>
      <c r="I1042" s="524" t="s">
        <v>2111</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2005</v>
      </c>
      <c r="I1048" s="524"/>
    </row>
    <row r="1049" spans="1:9">
      <c r="A1049" s="433"/>
      <c r="B1049" s="433"/>
      <c r="C1049" s="433"/>
      <c r="I1049" s="524"/>
    </row>
    <row r="1050" spans="1:9">
      <c r="A1050" s="433"/>
      <c r="B1050" s="519" t="s">
        <v>2719</v>
      </c>
      <c r="C1050" s="433"/>
      <c r="D1050" s="433" t="s">
        <v>2000</v>
      </c>
      <c r="I1050" s="524" t="s">
        <v>2112</v>
      </c>
    </row>
    <row r="1051" spans="1:9">
      <c r="A1051" s="433"/>
      <c r="B1051" s="433"/>
      <c r="C1051" s="433"/>
      <c r="I1051" s="524"/>
    </row>
    <row r="1052" spans="1:9">
      <c r="A1052" s="433"/>
      <c r="B1052" s="519" t="s">
        <v>2720</v>
      </c>
      <c r="C1052" s="433"/>
      <c r="D1052" s="1351" t="s">
        <v>2006</v>
      </c>
      <c r="E1052" s="1351"/>
      <c r="F1052" s="1351"/>
      <c r="I1052" s="524" t="s">
        <v>2113</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2007</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2719</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2720</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2720</v>
      </c>
      <c r="C1067" s="433"/>
      <c r="D1067" s="119" t="s">
        <v>2016</v>
      </c>
      <c r="I1067" s="524" t="s">
        <v>2116</v>
      </c>
    </row>
    <row r="1068" spans="1:9">
      <c r="A1068" s="433"/>
      <c r="B1068" s="433"/>
      <c r="C1068" s="433"/>
      <c r="D1068" s="1266" t="s">
        <v>2017</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2720</v>
      </c>
      <c r="C1075" s="433"/>
      <c r="D1075" s="1350" t="s">
        <v>2009</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2014</v>
      </c>
      <c r="I1080" s="524"/>
    </row>
    <row r="1081" spans="1:9">
      <c r="A1081" s="433"/>
      <c r="B1081" s="433"/>
      <c r="C1081" s="433"/>
      <c r="I1081" s="524"/>
    </row>
    <row r="1082" spans="1:9">
      <c r="A1082" s="1294" t="s">
        <v>2019</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2720</v>
      </c>
      <c r="C1085" s="433"/>
      <c r="D1085" s="1352" t="s">
        <v>2227</v>
      </c>
      <c r="E1085" s="1352"/>
      <c r="F1085" s="1352"/>
      <c r="I1085" s="524" t="s">
        <v>2118</v>
      </c>
    </row>
    <row r="1086" spans="1:9">
      <c r="A1086" s="433"/>
      <c r="B1086" s="433"/>
      <c r="C1086" s="433"/>
      <c r="D1086" s="1352"/>
      <c r="E1086" s="1352"/>
      <c r="F1086" s="1352"/>
      <c r="I1086" s="524"/>
    </row>
    <row r="1087" spans="1:9">
      <c r="A1087" s="433"/>
      <c r="B1087" s="433"/>
      <c r="C1087" s="433"/>
      <c r="D1087" s="1353" t="s">
        <v>2500</v>
      </c>
      <c r="E1087" s="1266"/>
      <c r="F1087" s="1266"/>
      <c r="I1087" s="524"/>
    </row>
    <row r="1088" spans="1:9">
      <c r="A1088" s="433"/>
      <c r="B1088" s="433"/>
      <c r="C1088" s="433"/>
      <c r="D1088" s="561"/>
      <c r="I1088" s="524"/>
    </row>
    <row r="1089" spans="1:9">
      <c r="A1089" s="433"/>
      <c r="B1089" s="519" t="s">
        <v>2720</v>
      </c>
      <c r="C1089" s="433"/>
      <c r="D1089" s="1350" t="s">
        <v>2020</v>
      </c>
      <c r="E1089" s="1350"/>
      <c r="F1089" s="1350"/>
      <c r="I1089" s="524" t="s">
        <v>2119</v>
      </c>
    </row>
    <row r="1090" spans="1:9">
      <c r="A1090" s="433"/>
      <c r="B1090" s="433"/>
      <c r="C1090" s="433"/>
      <c r="D1090" s="1350"/>
      <c r="E1090" s="1350"/>
      <c r="F1090" s="1350"/>
      <c r="I1090" s="524"/>
    </row>
    <row r="1091" spans="1:9">
      <c r="A1091" s="433"/>
      <c r="B1091" s="433"/>
      <c r="C1091" s="433"/>
      <c r="D1091" s="561"/>
      <c r="I1091" s="524"/>
    </row>
    <row r="1092" spans="1:9">
      <c r="A1092" s="433"/>
      <c r="B1092" s="519" t="s">
        <v>2720</v>
      </c>
      <c r="C1092" s="433"/>
      <c r="D1092" s="1350" t="s">
        <v>2163</v>
      </c>
      <c r="E1092" s="1350"/>
      <c r="F1092" s="1350"/>
      <c r="I1092" s="524" t="s">
        <v>2161</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2162</v>
      </c>
      <c r="I1098" s="514"/>
    </row>
    <row r="1099" spans="1:9">
      <c r="A1099" s="433"/>
      <c r="B1099" s="519" t="s">
        <v>2720</v>
      </c>
      <c r="C1099" s="433"/>
      <c r="D1099" s="1350" t="s">
        <v>2021</v>
      </c>
      <c r="E1099" s="1350"/>
      <c r="F1099" s="1350"/>
      <c r="I1099" s="524" t="s">
        <v>2120</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2720</v>
      </c>
      <c r="C1103" s="433"/>
      <c r="D1103" s="1272" t="s">
        <v>2164</v>
      </c>
      <c r="E1103" s="1272"/>
      <c r="F1103" s="1272"/>
      <c r="I1103" s="524" t="s">
        <v>2121</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2720</v>
      </c>
      <c r="C1107" s="433"/>
      <c r="D1107" s="1266" t="s">
        <v>2166</v>
      </c>
      <c r="E1107" s="1266"/>
      <c r="F1107" s="1266"/>
      <c r="I1107" s="524" t="s">
        <v>2165</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9.6">
      <c r="A1112" s="433"/>
      <c r="B1112" s="433"/>
      <c r="C1112" s="433"/>
      <c r="I1112" s="1265"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538" zoomScaleNormal="100" workbookViewId="0">
      <selection activeCell="AA590" sqref="AA590:AK590"/>
    </sheetView>
  </sheetViews>
  <sheetFormatPr defaultColWidth="0" defaultRowHeight="0" customHeight="1" zeroHeight="1"/>
  <cols>
    <col min="1" max="36" width="2.5546875" customWidth="1"/>
    <col min="37" max="37" width="2.88671875" customWidth="1"/>
    <col min="38" max="45" width="2.554687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2.9" customHeight="1">
      <c r="J1" s="100"/>
      <c r="AS1" s="1066">
        <v>4</v>
      </c>
    </row>
    <row r="2" spans="1:51" ht="12.9" customHeight="1"/>
    <row r="3" spans="1:51" ht="12.9" customHeight="1"/>
    <row r="4" spans="1:51" ht="12.9" customHeight="1"/>
    <row r="5" spans="1:51" ht="12.9" customHeight="1"/>
    <row r="6" spans="1:51" ht="12.9" customHeight="1"/>
    <row r="7" spans="1:51" ht="12.9" customHeight="1"/>
    <row r="8" spans="1:51" ht="26.25" customHeight="1">
      <c r="A8" s="1850" t="s">
        <v>100</v>
      </c>
      <c r="B8" s="1850"/>
      <c r="C8" s="1850"/>
      <c r="D8" s="1850"/>
      <c r="E8" s="1850"/>
      <c r="F8" s="1850"/>
      <c r="G8" s="1850"/>
      <c r="H8" s="1850"/>
      <c r="I8" s="1850"/>
      <c r="J8" s="1850"/>
      <c r="K8" s="1850"/>
      <c r="L8" s="1850"/>
      <c r="M8" s="1850"/>
      <c r="N8" s="1850"/>
      <c r="O8" s="1850"/>
      <c r="P8" s="1850"/>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c r="AT8" s="1850"/>
      <c r="AU8" s="933"/>
      <c r="AV8" s="933"/>
      <c r="AW8" s="933"/>
      <c r="AX8" s="933"/>
      <c r="AY8" s="933"/>
    </row>
    <row r="9" spans="1:51" ht="12.9" customHeight="1">
      <c r="A9" s="1306" t="s">
        <v>2390</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 customHeight="1">
      <c r="A10" s="1306" t="s">
        <v>2581</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 customHeight="1">
      <c r="A12" s="1851" t="s">
        <v>2634</v>
      </c>
      <c r="B12" s="1851"/>
      <c r="C12" s="1851"/>
      <c r="D12" s="1851"/>
      <c r="E12" s="1851"/>
      <c r="F12" s="1851"/>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c r="AT12" s="1851"/>
      <c r="AU12" s="6"/>
      <c r="AV12" s="6"/>
      <c r="AW12" s="6"/>
      <c r="AX12" s="6"/>
      <c r="AY12" s="6"/>
    </row>
    <row r="13" spans="1:51" ht="12.9" customHeight="1">
      <c r="A13" s="1276" t="s">
        <v>2391</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2392</v>
      </c>
      <c r="C16" s="4"/>
      <c r="D16" s="4"/>
      <c r="E16" s="4"/>
      <c r="F16" s="4"/>
      <c r="G16" s="4"/>
      <c r="H16" s="1526" t="s">
        <v>2664</v>
      </c>
      <c r="I16" s="1525"/>
      <c r="J16" s="1525"/>
      <c r="K16" s="1525"/>
      <c r="L16" s="1525"/>
      <c r="M16" s="1525"/>
      <c r="N16" s="1525"/>
      <c r="O16" s="1525"/>
      <c r="P16" s="1525"/>
      <c r="Q16" s="1525"/>
      <c r="R16" s="1525"/>
      <c r="S16" s="1525"/>
      <c r="T16" s="1525"/>
      <c r="U16" s="1525"/>
      <c r="V16" s="1525"/>
      <c r="W16" s="1525"/>
      <c r="X16" s="1525"/>
      <c r="Y16" s="1525"/>
      <c r="Z16" s="1525"/>
      <c r="AA16" s="1525"/>
      <c r="AB16" s="1525"/>
      <c r="AC16" s="1525"/>
      <c r="AD16" s="1525"/>
      <c r="AE16" s="1525"/>
      <c r="AF16" s="1525"/>
      <c r="AG16" s="1525"/>
      <c r="AH16" s="1525"/>
      <c r="AI16" s="1525"/>
      <c r="AJ16" s="1525"/>
    </row>
    <row r="17" spans="1:52" ht="12.9" customHeight="1"/>
    <row r="18" spans="1:52" ht="12.9" customHeight="1">
      <c r="A18" s="57" t="s">
        <v>101</v>
      </c>
      <c r="C18" s="4"/>
      <c r="D18" s="4"/>
      <c r="E18" s="4"/>
      <c r="F18" s="4"/>
      <c r="G18" s="4"/>
      <c r="H18" s="1487" t="s">
        <v>2637</v>
      </c>
      <c r="I18" s="1520"/>
      <c r="J18" s="1520"/>
      <c r="K18" s="1520"/>
      <c r="L18" s="1520"/>
      <c r="M18" s="1520"/>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row>
    <row r="19" spans="1:52" ht="12.9" customHeight="1"/>
    <row r="20" spans="1:52" ht="12.9" customHeight="1">
      <c r="A20" s="1852" t="s">
        <v>884</v>
      </c>
      <c r="B20" s="1852"/>
      <c r="C20" s="1852"/>
      <c r="D20" s="1852"/>
      <c r="E20" s="1852"/>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c r="AP20" s="1852"/>
      <c r="AQ20" s="1852"/>
      <c r="AR20" s="1852"/>
      <c r="AS20" s="1852"/>
      <c r="AT20" s="1852"/>
      <c r="AU20" s="935"/>
      <c r="AV20" s="935"/>
      <c r="AW20" s="935"/>
      <c r="AX20" s="935"/>
      <c r="AY20" s="935"/>
    </row>
    <row r="21" spans="1:52" ht="12.9" customHeight="1">
      <c r="A21" s="1855" t="s">
        <v>1033</v>
      </c>
      <c r="B21" s="1855"/>
      <c r="C21" s="1855"/>
      <c r="D21" s="1855"/>
      <c r="E21" s="1855"/>
      <c r="F21" s="1855"/>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936"/>
      <c r="AN21" s="936"/>
      <c r="AO21" s="936"/>
      <c r="AP21" s="936"/>
      <c r="AQ21" s="936"/>
      <c r="AR21" s="936"/>
      <c r="AS21" s="936"/>
      <c r="AT21" s="936"/>
      <c r="AU21" s="936"/>
      <c r="AV21" s="936"/>
      <c r="AW21" s="936"/>
      <c r="AX21" s="936"/>
      <c r="AY21" s="936"/>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352" t="s">
        <v>2506</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854">
        <f>'Basis &amp; Credits'!AB56</f>
        <v>3666666.7</v>
      </c>
      <c r="N26" s="1854"/>
      <c r="O26" s="1854"/>
      <c r="P26" s="1854"/>
      <c r="Q26" s="1854"/>
      <c r="R26" s="4" t="s">
        <v>768</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79">
        <f>'Basis &amp; Credits'!AB77</f>
        <v>0</v>
      </c>
      <c r="N27" s="1379"/>
      <c r="O27" s="1379"/>
      <c r="P27" s="1379"/>
      <c r="Q27" s="1379"/>
      <c r="R27" s="3" t="s">
        <v>1377</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1847" t="s">
        <v>2507</v>
      </c>
      <c r="B29" s="1847"/>
      <c r="C29" s="1847"/>
      <c r="D29" s="1847"/>
      <c r="E29" s="1847"/>
      <c r="F29" s="1847"/>
      <c r="G29" s="1847"/>
      <c r="H29" s="1847"/>
      <c r="I29" s="1847"/>
      <c r="J29" s="1847"/>
      <c r="K29" s="1847"/>
      <c r="L29" s="1847"/>
      <c r="M29" s="1847"/>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c r="AL29" s="1847"/>
      <c r="AM29" s="1847"/>
      <c r="AN29" s="1847"/>
      <c r="AO29" s="1847"/>
      <c r="AP29" s="1847"/>
      <c r="AQ29" s="1847"/>
      <c r="AR29" s="1847"/>
      <c r="AS29" s="1847"/>
      <c r="AT29" s="1847"/>
    </row>
    <row r="30" spans="1:52" ht="12.9" customHeight="1">
      <c r="A30" s="1847"/>
      <c r="B30" s="1847"/>
      <c r="C30" s="1847"/>
      <c r="D30" s="18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7"/>
      <c r="AG30" s="1847"/>
      <c r="AH30" s="1847"/>
      <c r="AI30" s="1847"/>
      <c r="AJ30" s="1847"/>
      <c r="AK30" s="1847"/>
      <c r="AL30" s="1847"/>
      <c r="AM30" s="1847"/>
      <c r="AN30" s="1847"/>
      <c r="AO30" s="1847"/>
      <c r="AP30" s="1847"/>
      <c r="AQ30" s="1847"/>
      <c r="AR30" s="1847"/>
      <c r="AS30" s="1847"/>
      <c r="AT30" s="1847"/>
      <c r="AZ30" s="20"/>
    </row>
    <row r="31" spans="1:52" ht="12.9" customHeight="1">
      <c r="A31" s="1847"/>
      <c r="B31" s="1847"/>
      <c r="C31" s="1847"/>
      <c r="D31" s="1847"/>
      <c r="E31" s="1847"/>
      <c r="F31" s="1847"/>
      <c r="G31" s="1847"/>
      <c r="H31" s="1847"/>
      <c r="I31" s="1847"/>
      <c r="J31" s="1847"/>
      <c r="K31" s="1847"/>
      <c r="L31" s="1847"/>
      <c r="M31" s="1847"/>
      <c r="N31" s="1847"/>
      <c r="O31" s="1847"/>
      <c r="P31" s="1847"/>
      <c r="Q31" s="1847"/>
      <c r="R31" s="1847"/>
      <c r="S31" s="1847"/>
      <c r="T31" s="1847"/>
      <c r="U31" s="1847"/>
      <c r="V31" s="1847"/>
      <c r="W31" s="1847"/>
      <c r="X31" s="1847"/>
      <c r="Y31" s="1847"/>
      <c r="Z31" s="1847"/>
      <c r="AA31" s="1847"/>
      <c r="AB31" s="1847"/>
      <c r="AC31" s="1847"/>
      <c r="AD31" s="1847"/>
      <c r="AE31" s="1847"/>
      <c r="AF31" s="1847"/>
      <c r="AG31" s="1847"/>
      <c r="AH31" s="1847"/>
      <c r="AI31" s="1847"/>
      <c r="AJ31" s="1847"/>
      <c r="AK31" s="1847"/>
      <c r="AL31" s="1847"/>
      <c r="AM31" s="1847"/>
      <c r="AN31" s="1847"/>
      <c r="AO31" s="1847"/>
      <c r="AP31" s="1847"/>
      <c r="AQ31" s="1847"/>
      <c r="AR31" s="1847"/>
      <c r="AS31" s="1847"/>
      <c r="AT31" s="1847"/>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3" t="s">
        <v>1388</v>
      </c>
      <c r="C33" s="553"/>
      <c r="D33" s="553"/>
      <c r="E33" s="553"/>
      <c r="F33" s="553"/>
      <c r="G33" s="553"/>
      <c r="H33" s="553"/>
      <c r="I33" s="553"/>
      <c r="J33" s="553"/>
      <c r="K33" s="553"/>
      <c r="L33" s="553"/>
      <c r="M33" s="553"/>
      <c r="N33" s="553"/>
      <c r="O33" s="1374" t="s">
        <v>677</v>
      </c>
      <c r="P33" s="1374"/>
      <c r="Q33" s="1853" t="s">
        <v>2508</v>
      </c>
      <c r="R33" s="1853"/>
      <c r="S33" s="1853"/>
      <c r="T33" s="1853"/>
      <c r="U33" s="1853"/>
      <c r="V33" s="1853"/>
      <c r="W33" s="1853"/>
      <c r="X33" s="1853"/>
      <c r="Y33" s="1853"/>
      <c r="Z33" s="1853"/>
      <c r="AA33" s="1853"/>
      <c r="AB33" s="1853"/>
      <c r="AC33" s="1853"/>
      <c r="AD33" s="1853"/>
      <c r="AE33" s="1853"/>
      <c r="AF33" s="1853"/>
      <c r="AG33" s="1853"/>
      <c r="AH33" s="1853"/>
      <c r="AI33" s="1853"/>
      <c r="AJ33" s="1853"/>
      <c r="AK33" s="1853"/>
      <c r="AL33" s="1853"/>
      <c r="AM33" s="1853"/>
      <c r="AN33" s="1853"/>
      <c r="AO33" s="1853"/>
      <c r="AP33" s="1853"/>
      <c r="AQ33" s="1853"/>
      <c r="AR33" s="1853"/>
      <c r="AS33" s="1853"/>
      <c r="AT33" s="1853"/>
      <c r="AU33" s="20"/>
      <c r="AV33" s="20"/>
      <c r="AW33" s="20"/>
      <c r="AX33" s="20"/>
      <c r="AY33" s="20"/>
    </row>
    <row r="34" spans="1:52" ht="12.9" customHeight="1">
      <c r="A34" s="1847" t="s">
        <v>2509</v>
      </c>
      <c r="B34" s="1847"/>
      <c r="C34" s="1847"/>
      <c r="D34" s="1847"/>
      <c r="E34" s="1847"/>
      <c r="F34" s="1847"/>
      <c r="G34" s="1847"/>
      <c r="H34" s="1847"/>
      <c r="I34" s="1847"/>
      <c r="J34" s="1847"/>
      <c r="K34" s="1847"/>
      <c r="L34" s="1847"/>
      <c r="M34" s="1847"/>
      <c r="N34" s="1847"/>
      <c r="O34" s="1847"/>
      <c r="P34" s="1847"/>
      <c r="Q34" s="1847"/>
      <c r="R34" s="1847"/>
      <c r="S34" s="1847"/>
      <c r="T34" s="1847"/>
      <c r="U34" s="1847"/>
      <c r="V34" s="1847"/>
      <c r="W34" s="1847"/>
      <c r="X34" s="1847"/>
      <c r="Y34" s="1847"/>
      <c r="Z34" s="1847"/>
      <c r="AA34" s="1847"/>
      <c r="AB34" s="1847"/>
      <c r="AC34" s="1847"/>
      <c r="AD34" s="1847"/>
      <c r="AE34" s="1847"/>
      <c r="AF34" s="1847"/>
      <c r="AG34" s="1847"/>
      <c r="AH34" s="1847"/>
      <c r="AI34" s="1847"/>
      <c r="AJ34" s="1847"/>
      <c r="AK34" s="1847"/>
      <c r="AL34" s="1847"/>
      <c r="AM34" s="1847"/>
      <c r="AN34" s="1847"/>
      <c r="AO34" s="1847"/>
      <c r="AP34" s="1847"/>
      <c r="AQ34" s="1847"/>
      <c r="AR34" s="1847"/>
      <c r="AS34" s="1847"/>
      <c r="AT34" s="1847"/>
      <c r="AU34" s="20"/>
      <c r="AV34" s="20"/>
      <c r="AW34" s="20"/>
      <c r="AX34" s="20"/>
      <c r="AY34" s="20"/>
      <c r="AZ34" s="20"/>
    </row>
    <row r="35" spans="1:52" ht="12.9" customHeight="1">
      <c r="A35" s="1847"/>
      <c r="B35" s="1847"/>
      <c r="C35" s="1847"/>
      <c r="D35" s="1847"/>
      <c r="E35" s="1847"/>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847"/>
      <c r="AC35" s="1847"/>
      <c r="AD35" s="1847"/>
      <c r="AE35" s="1847"/>
      <c r="AF35" s="1847"/>
      <c r="AG35" s="1847"/>
      <c r="AH35" s="1847"/>
      <c r="AI35" s="1847"/>
      <c r="AJ35" s="1847"/>
      <c r="AK35" s="1847"/>
      <c r="AL35" s="1847"/>
      <c r="AM35" s="1847"/>
      <c r="AN35" s="1847"/>
      <c r="AO35" s="1847"/>
      <c r="AP35" s="1847"/>
      <c r="AQ35" s="1847"/>
      <c r="AR35" s="1847"/>
      <c r="AS35" s="1847"/>
      <c r="AT35" s="1847"/>
      <c r="AU35" s="20"/>
      <c r="AV35" s="20"/>
      <c r="AW35" s="20"/>
      <c r="AX35" s="20"/>
      <c r="AY35" s="20"/>
      <c r="AZ35" s="20"/>
    </row>
    <row r="36" spans="1:52" ht="12.9" customHeight="1">
      <c r="A36" s="1847"/>
      <c r="B36" s="1847"/>
      <c r="C36" s="1847"/>
      <c r="D36" s="1847"/>
      <c r="E36" s="1847"/>
      <c r="F36" s="1847"/>
      <c r="G36" s="1847"/>
      <c r="H36" s="1847"/>
      <c r="I36" s="1847"/>
      <c r="J36" s="1847"/>
      <c r="K36" s="1847"/>
      <c r="L36" s="1847"/>
      <c r="M36" s="1847"/>
      <c r="N36" s="1847"/>
      <c r="O36" s="1847"/>
      <c r="P36" s="1847"/>
      <c r="Q36" s="1847"/>
      <c r="R36" s="1847"/>
      <c r="S36" s="1847"/>
      <c r="T36" s="1847"/>
      <c r="U36" s="1847"/>
      <c r="V36" s="1847"/>
      <c r="W36" s="1847"/>
      <c r="X36" s="1847"/>
      <c r="Y36" s="1847"/>
      <c r="Z36" s="1847"/>
      <c r="AA36" s="1847"/>
      <c r="AB36" s="1847"/>
      <c r="AC36" s="1847"/>
      <c r="AD36" s="1847"/>
      <c r="AE36" s="1847"/>
      <c r="AF36" s="1847"/>
      <c r="AG36" s="1847"/>
      <c r="AH36" s="1847"/>
      <c r="AI36" s="1847"/>
      <c r="AJ36" s="1847"/>
      <c r="AK36" s="1847"/>
      <c r="AL36" s="1847"/>
      <c r="AM36" s="1847"/>
      <c r="AN36" s="1847"/>
      <c r="AO36" s="1847"/>
      <c r="AP36" s="1847"/>
      <c r="AQ36" s="1847"/>
      <c r="AR36" s="1847"/>
      <c r="AS36" s="1847"/>
      <c r="AT36" s="1847"/>
      <c r="AU36" s="20"/>
      <c r="AV36" s="20"/>
      <c r="AW36" s="20"/>
      <c r="AX36" s="20"/>
      <c r="AY36" s="20"/>
      <c r="AZ36" s="20"/>
    </row>
    <row r="37" spans="1:52" ht="12.9" customHeight="1">
      <c r="A37" s="1847"/>
      <c r="B37" s="1847"/>
      <c r="C37" s="1847"/>
      <c r="D37" s="1847"/>
      <c r="E37" s="1847"/>
      <c r="F37" s="1847"/>
      <c r="G37" s="1847"/>
      <c r="H37" s="1847"/>
      <c r="I37" s="1847"/>
      <c r="J37" s="1847"/>
      <c r="K37" s="1847"/>
      <c r="L37" s="1847"/>
      <c r="M37" s="1847"/>
      <c r="N37" s="1847"/>
      <c r="O37" s="1847"/>
      <c r="P37" s="1847"/>
      <c r="Q37" s="1847"/>
      <c r="R37" s="1847"/>
      <c r="S37" s="1847"/>
      <c r="T37" s="1847"/>
      <c r="U37" s="1847"/>
      <c r="V37" s="1847"/>
      <c r="W37" s="1847"/>
      <c r="X37" s="1847"/>
      <c r="Y37" s="1847"/>
      <c r="Z37" s="1847"/>
      <c r="AA37" s="1847"/>
      <c r="AB37" s="1847"/>
      <c r="AC37" s="1847"/>
      <c r="AD37" s="1847"/>
      <c r="AE37" s="1847"/>
      <c r="AF37" s="1847"/>
      <c r="AG37" s="1847"/>
      <c r="AH37" s="1847"/>
      <c r="AI37" s="1847"/>
      <c r="AJ37" s="1847"/>
      <c r="AK37" s="1847"/>
      <c r="AL37" s="1847"/>
      <c r="AM37" s="1847"/>
      <c r="AN37" s="1847"/>
      <c r="AO37" s="1847"/>
      <c r="AP37" s="1847"/>
      <c r="AQ37" s="1847"/>
      <c r="AR37" s="1847"/>
      <c r="AS37" s="1847"/>
      <c r="AT37" s="1847"/>
      <c r="AZ37" s="20"/>
    </row>
    <row r="38" spans="1:52" ht="12.9" customHeight="1">
      <c r="A38" s="3"/>
      <c r="AZ38" s="20"/>
    </row>
    <row r="39" spans="1:52" ht="12.9"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1352" t="s">
        <v>2511</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1533" t="s">
        <v>2516</v>
      </c>
      <c r="B65" s="1533"/>
      <c r="C65" s="1533"/>
      <c r="D65" s="1533"/>
      <c r="E65" s="1533"/>
      <c r="F65" s="1533"/>
      <c r="G65" s="1533"/>
      <c r="H65" s="1533"/>
      <c r="I65" s="1533"/>
      <c r="J65" s="1533"/>
      <c r="K65" s="1533"/>
      <c r="L65" s="1533"/>
      <c r="M65" s="1533"/>
      <c r="N65" s="1533"/>
      <c r="O65" s="1533"/>
      <c r="P65" s="1533"/>
      <c r="Q65" s="1533"/>
      <c r="R65" s="1533"/>
      <c r="S65" s="1533"/>
      <c r="T65" s="1533"/>
      <c r="U65" s="1533"/>
      <c r="V65" s="1533"/>
      <c r="W65" s="1533"/>
      <c r="X65" s="1533"/>
      <c r="Y65" s="1533"/>
      <c r="Z65" s="1533"/>
      <c r="AA65" s="1533"/>
      <c r="AB65" s="1533"/>
      <c r="AC65" s="1533"/>
      <c r="AD65" s="1533"/>
      <c r="AE65" s="1533"/>
      <c r="AF65" s="1533"/>
      <c r="AG65" s="1533"/>
      <c r="AH65" s="1533"/>
      <c r="AI65" s="1533"/>
      <c r="AJ65" s="1533"/>
      <c r="AK65" s="1533"/>
      <c r="AL65" s="1533"/>
      <c r="AM65" s="1533"/>
      <c r="AN65" s="1533"/>
      <c r="AO65" s="1533"/>
      <c r="AP65" s="1533"/>
      <c r="AQ65" s="1533"/>
      <c r="AR65" s="1533"/>
      <c r="AS65" s="1533"/>
      <c r="AT65" s="1533"/>
      <c r="AU65" s="21"/>
      <c r="AV65" s="21"/>
      <c r="AW65" s="21"/>
      <c r="AX65" s="21"/>
      <c r="AY65" s="21"/>
      <c r="AZ65" s="20"/>
    </row>
    <row r="66" spans="1:52" ht="12.9" customHeight="1">
      <c r="A66" s="1533"/>
      <c r="B66" s="1533"/>
      <c r="C66" s="1533"/>
      <c r="D66" s="1533"/>
      <c r="E66" s="1533"/>
      <c r="F66" s="1533"/>
      <c r="G66" s="1533"/>
      <c r="H66" s="1533"/>
      <c r="I66" s="1533"/>
      <c r="J66" s="1533"/>
      <c r="K66" s="1533"/>
      <c r="L66" s="1533"/>
      <c r="M66" s="1533"/>
      <c r="N66" s="1533"/>
      <c r="O66" s="1533"/>
      <c r="P66" s="1533"/>
      <c r="Q66" s="1533"/>
      <c r="R66" s="1533"/>
      <c r="S66" s="1533"/>
      <c r="T66" s="1533"/>
      <c r="U66" s="1533"/>
      <c r="V66" s="1533"/>
      <c r="W66" s="1533"/>
      <c r="X66" s="1533"/>
      <c r="Y66" s="1533"/>
      <c r="Z66" s="1533"/>
      <c r="AA66" s="1533"/>
      <c r="AB66" s="1533"/>
      <c r="AC66" s="1533"/>
      <c r="AD66" s="1533"/>
      <c r="AE66" s="1533"/>
      <c r="AF66" s="1533"/>
      <c r="AG66" s="1533"/>
      <c r="AH66" s="1533"/>
      <c r="AI66" s="1533"/>
      <c r="AJ66" s="1533"/>
      <c r="AK66" s="1533"/>
      <c r="AL66" s="1533"/>
      <c r="AM66" s="1533"/>
      <c r="AN66" s="1533"/>
      <c r="AO66" s="1533"/>
      <c r="AP66" s="1533"/>
      <c r="AQ66" s="1533"/>
      <c r="AR66" s="1533"/>
      <c r="AS66" s="1533"/>
      <c r="AT66" s="1533"/>
      <c r="AU66" s="21"/>
      <c r="AV66" s="21"/>
      <c r="AW66" s="21"/>
      <c r="AX66" s="21"/>
      <c r="AY66" s="21"/>
      <c r="AZ66" s="20"/>
    </row>
    <row r="67" spans="1:52" ht="12.9" customHeight="1">
      <c r="A67" s="1533"/>
      <c r="B67" s="1533"/>
      <c r="C67" s="1533"/>
      <c r="D67" s="1533"/>
      <c r="E67" s="1533"/>
      <c r="F67" s="1533"/>
      <c r="G67" s="1533"/>
      <c r="H67" s="1533"/>
      <c r="I67" s="1533"/>
      <c r="J67" s="1533"/>
      <c r="K67" s="1533"/>
      <c r="L67" s="1533"/>
      <c r="M67" s="1533"/>
      <c r="N67" s="1533"/>
      <c r="O67" s="1533"/>
      <c r="P67" s="1533"/>
      <c r="Q67" s="1533"/>
      <c r="R67" s="1533"/>
      <c r="S67" s="1533"/>
      <c r="T67" s="1533"/>
      <c r="U67" s="1533"/>
      <c r="V67" s="1533"/>
      <c r="W67" s="1533"/>
      <c r="X67" s="1533"/>
      <c r="Y67" s="1533"/>
      <c r="Z67" s="1533"/>
      <c r="AA67" s="1533"/>
      <c r="AB67" s="1533"/>
      <c r="AC67" s="1533"/>
      <c r="AD67" s="1533"/>
      <c r="AE67" s="1533"/>
      <c r="AF67" s="1533"/>
      <c r="AG67" s="1533"/>
      <c r="AH67" s="1533"/>
      <c r="AI67" s="1533"/>
      <c r="AJ67" s="1533"/>
      <c r="AK67" s="1533"/>
      <c r="AL67" s="1533"/>
      <c r="AM67" s="1533"/>
      <c r="AN67" s="1533"/>
      <c r="AO67" s="1533"/>
      <c r="AP67" s="1533"/>
      <c r="AQ67" s="1533"/>
      <c r="AR67" s="1533"/>
      <c r="AS67" s="1533"/>
      <c r="AT67" s="1533"/>
      <c r="AZ67" s="20"/>
    </row>
    <row r="68" spans="1:52"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1533" t="s">
        <v>2517</v>
      </c>
      <c r="B69" s="1533"/>
      <c r="C69" s="1533"/>
      <c r="D69" s="1533"/>
      <c r="E69" s="1533"/>
      <c r="F69" s="1533"/>
      <c r="G69" s="1533"/>
      <c r="H69" s="1533"/>
      <c r="I69" s="1533"/>
      <c r="J69" s="1533"/>
      <c r="K69" s="1533"/>
      <c r="L69" s="1533"/>
      <c r="M69" s="1533"/>
      <c r="N69" s="1533"/>
      <c r="O69" s="1533"/>
      <c r="P69" s="1533"/>
      <c r="Q69" s="1533"/>
      <c r="R69" s="1533"/>
      <c r="S69" s="1533"/>
      <c r="T69" s="1533"/>
      <c r="U69" s="1533"/>
      <c r="V69" s="1533"/>
      <c r="W69" s="1533"/>
      <c r="X69" s="1533"/>
      <c r="Y69" s="1533"/>
      <c r="Z69" s="1533"/>
      <c r="AA69" s="1533"/>
      <c r="AB69" s="1533"/>
      <c r="AC69" s="1533"/>
      <c r="AD69" s="1533"/>
      <c r="AE69" s="1533"/>
      <c r="AF69" s="1533"/>
      <c r="AG69" s="1533"/>
      <c r="AH69" s="1533"/>
      <c r="AI69" s="1533"/>
      <c r="AJ69" s="1533"/>
      <c r="AK69" s="1533"/>
      <c r="AL69" s="1533"/>
      <c r="AM69" s="1533"/>
      <c r="AN69" s="1533"/>
      <c r="AO69" s="1533"/>
      <c r="AP69" s="1533"/>
      <c r="AQ69" s="1533"/>
      <c r="AR69" s="1533"/>
      <c r="AS69" s="1533"/>
      <c r="AT69" s="1533"/>
      <c r="AZ69" s="20"/>
    </row>
    <row r="70" spans="1:52" ht="12.9" customHeight="1">
      <c r="A70" s="1533"/>
      <c r="B70" s="1533"/>
      <c r="C70" s="1533"/>
      <c r="D70" s="1533"/>
      <c r="E70" s="1533"/>
      <c r="F70" s="1533"/>
      <c r="G70" s="1533"/>
      <c r="H70" s="1533"/>
      <c r="I70" s="1533"/>
      <c r="J70" s="1533"/>
      <c r="K70" s="1533"/>
      <c r="L70" s="1533"/>
      <c r="M70" s="1533"/>
      <c r="N70" s="1533"/>
      <c r="O70" s="1533"/>
      <c r="P70" s="1533"/>
      <c r="Q70" s="1533"/>
      <c r="R70" s="1533"/>
      <c r="S70" s="1533"/>
      <c r="T70" s="1533"/>
      <c r="U70" s="1533"/>
      <c r="V70" s="1533"/>
      <c r="W70" s="1533"/>
      <c r="X70" s="1533"/>
      <c r="Y70" s="1533"/>
      <c r="Z70" s="1533"/>
      <c r="AA70" s="1533"/>
      <c r="AB70" s="1533"/>
      <c r="AC70" s="1533"/>
      <c r="AD70" s="1533"/>
      <c r="AE70" s="1533"/>
      <c r="AF70" s="1533"/>
      <c r="AG70" s="1533"/>
      <c r="AH70" s="1533"/>
      <c r="AI70" s="1533"/>
      <c r="AJ70" s="1533"/>
      <c r="AK70" s="1533"/>
      <c r="AL70" s="1533"/>
      <c r="AM70" s="1533"/>
      <c r="AN70" s="1533"/>
      <c r="AO70" s="1533"/>
      <c r="AP70" s="1533"/>
      <c r="AQ70" s="1533"/>
      <c r="AR70" s="1533"/>
      <c r="AS70" s="1533"/>
      <c r="AT70" s="1533"/>
      <c r="AU70" s="20"/>
      <c r="AV70" s="20"/>
      <c r="AW70" s="20"/>
      <c r="AX70" s="20"/>
      <c r="AY70" s="20"/>
      <c r="AZ70" s="20"/>
    </row>
    <row r="71" spans="1:52" ht="12.9"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1847" t="s">
        <v>2518</v>
      </c>
      <c r="B72" s="1847"/>
      <c r="C72" s="1847"/>
      <c r="D72" s="1847"/>
      <c r="E72" s="1847"/>
      <c r="F72" s="1847"/>
      <c r="G72" s="1847"/>
      <c r="H72" s="1847"/>
      <c r="I72" s="1847"/>
      <c r="J72" s="1847"/>
      <c r="K72" s="1847"/>
      <c r="L72" s="1847"/>
      <c r="M72" s="1847"/>
      <c r="N72" s="1847"/>
      <c r="O72" s="1847"/>
      <c r="P72" s="1847"/>
      <c r="Q72" s="1847"/>
      <c r="R72" s="1847"/>
      <c r="S72" s="1847"/>
      <c r="T72" s="1847"/>
      <c r="U72" s="1847"/>
      <c r="V72" s="1847"/>
      <c r="W72" s="1847"/>
      <c r="X72" s="1847"/>
      <c r="Y72" s="1847"/>
      <c r="Z72" s="1847"/>
      <c r="AA72" s="1847"/>
      <c r="AB72" s="1847"/>
      <c r="AC72" s="1847"/>
      <c r="AD72" s="1847"/>
      <c r="AE72" s="1847"/>
      <c r="AF72" s="1847"/>
      <c r="AG72" s="1847"/>
      <c r="AH72" s="1847"/>
      <c r="AI72" s="1847"/>
      <c r="AJ72" s="1847"/>
      <c r="AK72" s="1847"/>
      <c r="AL72" s="1847"/>
      <c r="AM72" s="1847"/>
      <c r="AN72" s="1847"/>
      <c r="AO72" s="1847"/>
      <c r="AP72" s="1847"/>
      <c r="AQ72" s="1847"/>
      <c r="AR72" s="1847"/>
      <c r="AS72" s="1847"/>
      <c r="AT72" s="1847"/>
      <c r="AU72" s="20"/>
      <c r="AV72" s="20"/>
      <c r="AW72" s="20"/>
      <c r="AX72" s="20"/>
      <c r="AY72" s="20"/>
      <c r="AZ72" s="20"/>
    </row>
    <row r="73" spans="1:52" ht="12.9" customHeight="1">
      <c r="A73" s="1847"/>
      <c r="B73" s="1847"/>
      <c r="C73" s="1847"/>
      <c r="D73" s="1847"/>
      <c r="E73" s="1847"/>
      <c r="F73" s="1847"/>
      <c r="G73" s="1847"/>
      <c r="H73" s="1847"/>
      <c r="I73" s="1847"/>
      <c r="J73" s="1847"/>
      <c r="K73" s="1847"/>
      <c r="L73" s="1847"/>
      <c r="M73" s="1847"/>
      <c r="N73" s="1847"/>
      <c r="O73" s="1847"/>
      <c r="P73" s="1847"/>
      <c r="Q73" s="1847"/>
      <c r="R73" s="1847"/>
      <c r="S73" s="1847"/>
      <c r="T73" s="1847"/>
      <c r="U73" s="1847"/>
      <c r="V73" s="1847"/>
      <c r="W73" s="1847"/>
      <c r="X73" s="1847"/>
      <c r="Y73" s="1847"/>
      <c r="Z73" s="1847"/>
      <c r="AA73" s="1847"/>
      <c r="AB73" s="1847"/>
      <c r="AC73" s="1847"/>
      <c r="AD73" s="1847"/>
      <c r="AE73" s="1847"/>
      <c r="AF73" s="1847"/>
      <c r="AG73" s="1847"/>
      <c r="AH73" s="1847"/>
      <c r="AI73" s="1847"/>
      <c r="AJ73" s="1847"/>
      <c r="AK73" s="1847"/>
      <c r="AL73" s="1847"/>
      <c r="AM73" s="1847"/>
      <c r="AN73" s="1847"/>
      <c r="AO73" s="1847"/>
      <c r="AP73" s="1847"/>
      <c r="AQ73" s="1847"/>
      <c r="AR73" s="1847"/>
      <c r="AS73" s="1847"/>
      <c r="AT73" s="1847"/>
      <c r="AU73" s="20"/>
      <c r="AV73" s="20"/>
      <c r="AW73" s="20"/>
      <c r="AX73" s="20"/>
      <c r="AY73" s="20"/>
      <c r="AZ73" s="20"/>
    </row>
    <row r="74" spans="1:52"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A75" s="1531" t="s">
        <v>2519</v>
      </c>
      <c r="B75" s="1531"/>
      <c r="C75" s="1531"/>
      <c r="D75" s="1531"/>
      <c r="E75" s="1531"/>
      <c r="F75" s="1531"/>
      <c r="G75" s="1531"/>
      <c r="H75" s="1531"/>
      <c r="I75" s="1531"/>
      <c r="J75" s="1531"/>
      <c r="K75" s="1531"/>
      <c r="L75" s="1531"/>
      <c r="M75" s="1531"/>
      <c r="N75" s="1531"/>
      <c r="O75" s="1531"/>
      <c r="P75" s="1531"/>
      <c r="Q75" s="1531"/>
      <c r="R75" s="1531"/>
      <c r="S75" s="1531"/>
      <c r="T75" s="1531"/>
      <c r="U75" s="1531"/>
      <c r="V75" s="1531"/>
      <c r="W75" s="1531"/>
      <c r="X75" s="1531"/>
      <c r="Y75" s="1531"/>
      <c r="Z75" s="1531"/>
      <c r="AA75" s="1531"/>
      <c r="AB75" s="1531"/>
      <c r="AC75" s="1531"/>
      <c r="AD75" s="1531"/>
      <c r="AE75" s="1531"/>
      <c r="AF75" s="1531"/>
      <c r="AG75" s="1531"/>
      <c r="AH75" s="1531"/>
      <c r="AI75" s="1531"/>
      <c r="AJ75" s="1531"/>
      <c r="AK75" s="1531"/>
      <c r="AL75" s="1531"/>
      <c r="AM75" s="1531"/>
      <c r="AN75" s="1531"/>
      <c r="AO75" s="1531"/>
      <c r="AP75" s="1531"/>
      <c r="AQ75" s="1531"/>
      <c r="AR75" s="1531"/>
      <c r="AS75" s="1531"/>
      <c r="AT75" s="1531"/>
      <c r="AU75" s="20"/>
      <c r="AV75" s="20"/>
      <c r="AW75" s="20"/>
      <c r="AX75" s="20"/>
      <c r="AY75" s="20"/>
      <c r="AZ75" s="20"/>
    </row>
    <row r="76" spans="1:52" ht="12.9" customHeight="1">
      <c r="A76" s="1531"/>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1531"/>
      <c r="AD76" s="1531"/>
      <c r="AE76" s="1531"/>
      <c r="AF76" s="1531"/>
      <c r="AG76" s="1531"/>
      <c r="AH76" s="1531"/>
      <c r="AI76" s="1531"/>
      <c r="AJ76" s="1531"/>
      <c r="AK76" s="1531"/>
      <c r="AL76" s="1531"/>
      <c r="AM76" s="1531"/>
      <c r="AN76" s="1531"/>
      <c r="AO76" s="1531"/>
      <c r="AP76" s="1531"/>
      <c r="AQ76" s="1531"/>
      <c r="AR76" s="1531"/>
      <c r="AS76" s="1531"/>
      <c r="AT76" s="1531"/>
      <c r="AU76" s="20"/>
      <c r="AV76" s="20"/>
      <c r="AW76" s="20"/>
      <c r="AX76" s="20"/>
      <c r="AY76" s="20"/>
      <c r="AZ76" s="17"/>
    </row>
    <row r="77" spans="1:52" ht="12.9" customHeight="1">
      <c r="A77" s="1531"/>
      <c r="B77" s="1531"/>
      <c r="C77" s="1531"/>
      <c r="D77" s="1531"/>
      <c r="E77" s="1531"/>
      <c r="F77" s="1531"/>
      <c r="G77" s="1531"/>
      <c r="H77" s="1531"/>
      <c r="I77" s="1531"/>
      <c r="J77" s="1531"/>
      <c r="K77" s="1531"/>
      <c r="L77" s="1531"/>
      <c r="M77" s="1531"/>
      <c r="N77" s="1531"/>
      <c r="O77" s="1531"/>
      <c r="P77" s="1531"/>
      <c r="Q77" s="1531"/>
      <c r="R77" s="1531"/>
      <c r="S77" s="1531"/>
      <c r="T77" s="1531"/>
      <c r="U77" s="1531"/>
      <c r="V77" s="1531"/>
      <c r="W77" s="1531"/>
      <c r="X77" s="1531"/>
      <c r="Y77" s="1531"/>
      <c r="Z77" s="1531"/>
      <c r="AA77" s="1531"/>
      <c r="AB77" s="1531"/>
      <c r="AC77" s="1531"/>
      <c r="AD77" s="1531"/>
      <c r="AE77" s="1531"/>
      <c r="AF77" s="1531"/>
      <c r="AG77" s="1531"/>
      <c r="AH77" s="1531"/>
      <c r="AI77" s="1531"/>
      <c r="AJ77" s="1531"/>
      <c r="AK77" s="1531"/>
      <c r="AL77" s="1531"/>
      <c r="AM77" s="1531"/>
      <c r="AN77" s="1531"/>
      <c r="AO77" s="1531"/>
      <c r="AP77" s="1531"/>
      <c r="AQ77" s="1531"/>
      <c r="AR77" s="1531"/>
      <c r="AS77" s="1531"/>
      <c r="AT77" s="1531"/>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1533" t="s">
        <v>2520</v>
      </c>
      <c r="B79" s="1533"/>
      <c r="C79" s="1533"/>
      <c r="D79" s="1533"/>
      <c r="E79" s="1533"/>
      <c r="F79" s="1533"/>
      <c r="G79" s="1533"/>
      <c r="H79" s="1533"/>
      <c r="I79" s="1533"/>
      <c r="J79" s="1533"/>
      <c r="K79" s="1533"/>
      <c r="L79" s="1533"/>
      <c r="M79" s="1533"/>
      <c r="N79" s="1533"/>
      <c r="O79" s="1533"/>
      <c r="P79" s="1533"/>
      <c r="Q79" s="1533"/>
      <c r="R79" s="1533"/>
      <c r="S79" s="1533"/>
      <c r="T79" s="1533"/>
      <c r="U79" s="1533"/>
      <c r="V79" s="1533"/>
      <c r="W79" s="1533"/>
      <c r="X79" s="1533"/>
      <c r="Y79" s="1533"/>
      <c r="Z79" s="1533"/>
      <c r="AA79" s="1533"/>
      <c r="AB79" s="1533"/>
      <c r="AC79" s="1533"/>
      <c r="AD79" s="1533"/>
      <c r="AE79" s="1533"/>
      <c r="AF79" s="1533"/>
      <c r="AG79" s="1533"/>
      <c r="AH79" s="1533"/>
      <c r="AI79" s="1533"/>
      <c r="AJ79" s="1533"/>
      <c r="AK79" s="1533"/>
      <c r="AL79" s="1533"/>
      <c r="AM79" s="1533"/>
      <c r="AN79" s="1533"/>
      <c r="AO79" s="1533"/>
      <c r="AP79" s="1533"/>
      <c r="AQ79" s="1533"/>
      <c r="AR79" s="1533"/>
      <c r="AS79" s="1533"/>
      <c r="AT79" s="1533"/>
      <c r="AU79" s="20"/>
      <c r="AV79" s="20"/>
      <c r="AW79" s="20"/>
      <c r="AX79" s="20"/>
      <c r="AY79" s="20"/>
      <c r="AZ79" s="20"/>
    </row>
    <row r="80" spans="1:52" ht="12.9" customHeight="1">
      <c r="A80" s="1533"/>
      <c r="B80" s="1533"/>
      <c r="C80" s="1533"/>
      <c r="D80" s="1533"/>
      <c r="E80" s="1533"/>
      <c r="F80" s="1533"/>
      <c r="G80" s="1533"/>
      <c r="H80" s="1533"/>
      <c r="I80" s="1533"/>
      <c r="J80" s="1533"/>
      <c r="K80" s="1533"/>
      <c r="L80" s="1533"/>
      <c r="M80" s="1533"/>
      <c r="N80" s="1533"/>
      <c r="O80" s="1533"/>
      <c r="P80" s="1533"/>
      <c r="Q80" s="1533"/>
      <c r="R80" s="1533"/>
      <c r="S80" s="1533"/>
      <c r="T80" s="1533"/>
      <c r="U80" s="1533"/>
      <c r="V80" s="1533"/>
      <c r="W80" s="1533"/>
      <c r="X80" s="1533"/>
      <c r="Y80" s="1533"/>
      <c r="Z80" s="1533"/>
      <c r="AA80" s="1533"/>
      <c r="AB80" s="1533"/>
      <c r="AC80" s="1533"/>
      <c r="AD80" s="1533"/>
      <c r="AE80" s="1533"/>
      <c r="AF80" s="1533"/>
      <c r="AG80" s="1533"/>
      <c r="AH80" s="1533"/>
      <c r="AI80" s="1533"/>
      <c r="AJ80" s="1533"/>
      <c r="AK80" s="1533"/>
      <c r="AL80" s="1533"/>
      <c r="AM80" s="1533"/>
      <c r="AN80" s="1533"/>
      <c r="AO80" s="1533"/>
      <c r="AP80" s="1533"/>
      <c r="AQ80" s="1533"/>
      <c r="AR80" s="1533"/>
      <c r="AS80" s="1533"/>
      <c r="AT80" s="1533"/>
      <c r="AU80" s="20"/>
      <c r="AV80" s="20"/>
      <c r="AW80" s="20"/>
      <c r="AX80" s="20"/>
      <c r="AY80" s="20"/>
      <c r="AZ80" s="20"/>
    </row>
    <row r="81" spans="1:52" ht="12.9" customHeight="1">
      <c r="A81" s="1533"/>
      <c r="B81" s="1533"/>
      <c r="C81" s="1533"/>
      <c r="D81" s="1533"/>
      <c r="E81" s="1533"/>
      <c r="F81" s="1533"/>
      <c r="G81" s="1533"/>
      <c r="H81" s="1533"/>
      <c r="I81" s="1533"/>
      <c r="J81" s="1533"/>
      <c r="K81" s="1533"/>
      <c r="L81" s="1533"/>
      <c r="M81" s="1533"/>
      <c r="N81" s="1533"/>
      <c r="O81" s="1533"/>
      <c r="P81" s="1533"/>
      <c r="Q81" s="1533"/>
      <c r="R81" s="1533"/>
      <c r="S81" s="1533"/>
      <c r="T81" s="1533"/>
      <c r="U81" s="1533"/>
      <c r="V81" s="1533"/>
      <c r="W81" s="1533"/>
      <c r="X81" s="1533"/>
      <c r="Y81" s="1533"/>
      <c r="Z81" s="1533"/>
      <c r="AA81" s="1533"/>
      <c r="AB81" s="1533"/>
      <c r="AC81" s="1533"/>
      <c r="AD81" s="1533"/>
      <c r="AE81" s="1533"/>
      <c r="AF81" s="1533"/>
      <c r="AG81" s="1533"/>
      <c r="AH81" s="1533"/>
      <c r="AI81" s="1533"/>
      <c r="AJ81" s="1533"/>
      <c r="AK81" s="1533"/>
      <c r="AL81" s="1533"/>
      <c r="AM81" s="1533"/>
      <c r="AN81" s="1533"/>
      <c r="AO81" s="1533"/>
      <c r="AP81" s="1533"/>
      <c r="AQ81" s="1533"/>
      <c r="AR81" s="1533"/>
      <c r="AS81" s="1533"/>
      <c r="AT81" s="1533"/>
      <c r="AU81" s="20"/>
      <c r="AV81" s="20"/>
      <c r="AW81" s="20"/>
      <c r="AX81" s="20"/>
      <c r="AY81" s="20"/>
      <c r="AZ81" s="20"/>
    </row>
    <row r="82" spans="1:52" ht="12.9"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A89" s="1530" t="s">
        <v>2523</v>
      </c>
      <c r="B89" s="1530"/>
      <c r="C89" s="1530"/>
      <c r="D89" s="1530"/>
      <c r="E89" s="1530"/>
      <c r="F89" s="1530"/>
      <c r="G89" s="1530"/>
      <c r="H89" s="1530"/>
      <c r="I89" s="1530"/>
      <c r="J89" s="1530"/>
      <c r="K89" s="1530"/>
      <c r="L89" s="1530"/>
      <c r="M89" s="1530"/>
      <c r="N89" s="1530"/>
      <c r="O89" s="1530"/>
      <c r="P89" s="1530"/>
      <c r="Q89" s="1530"/>
      <c r="R89" s="1530"/>
      <c r="S89" s="1530"/>
      <c r="T89" s="1530"/>
      <c r="U89" s="1530"/>
      <c r="V89" s="1530"/>
      <c r="W89" s="1530"/>
      <c r="X89" s="1530"/>
      <c r="Y89" s="1530"/>
      <c r="Z89" s="1530"/>
      <c r="AA89" s="1530"/>
      <c r="AB89" s="1530"/>
      <c r="AC89" s="1530"/>
      <c r="AD89" s="1530"/>
      <c r="AE89" s="1530"/>
      <c r="AF89" s="1530"/>
      <c r="AG89" s="1530"/>
      <c r="AH89" s="1530"/>
      <c r="AI89" s="1530"/>
      <c r="AJ89" s="1530"/>
      <c r="AK89" s="1530"/>
      <c r="AL89" s="1530"/>
      <c r="AM89" s="1530"/>
      <c r="AN89" s="1530"/>
      <c r="AO89" s="1530"/>
      <c r="AP89" s="1530"/>
      <c r="AQ89" s="1530"/>
      <c r="AR89" s="1530"/>
      <c r="AS89" s="1530"/>
      <c r="AT89" s="1530"/>
      <c r="AU89" s="17"/>
      <c r="AV89" s="17"/>
      <c r="AW89" s="17"/>
      <c r="AX89" s="17"/>
      <c r="AY89" s="17"/>
      <c r="AZ89" s="20"/>
    </row>
    <row r="90" spans="1:52" ht="12.9" customHeight="1">
      <c r="A90" s="1530"/>
      <c r="B90" s="1530"/>
      <c r="C90" s="1530"/>
      <c r="D90" s="1530"/>
      <c r="E90" s="1530"/>
      <c r="F90" s="1530"/>
      <c r="G90" s="1530"/>
      <c r="H90" s="1530"/>
      <c r="I90" s="1530"/>
      <c r="J90" s="1530"/>
      <c r="K90" s="1530"/>
      <c r="L90" s="1530"/>
      <c r="M90" s="1530"/>
      <c r="N90" s="1530"/>
      <c r="O90" s="1530"/>
      <c r="P90" s="1530"/>
      <c r="Q90" s="1530"/>
      <c r="R90" s="1530"/>
      <c r="S90" s="1530"/>
      <c r="T90" s="1530"/>
      <c r="U90" s="1530"/>
      <c r="V90" s="1530"/>
      <c r="W90" s="1530"/>
      <c r="X90" s="1530"/>
      <c r="Y90" s="1530"/>
      <c r="Z90" s="1530"/>
      <c r="AA90" s="1530"/>
      <c r="AB90" s="1530"/>
      <c r="AC90" s="1530"/>
      <c r="AD90" s="1530"/>
      <c r="AE90" s="1530"/>
      <c r="AF90" s="1530"/>
      <c r="AG90" s="1530"/>
      <c r="AH90" s="1530"/>
      <c r="AI90" s="1530"/>
      <c r="AJ90" s="1530"/>
      <c r="AK90" s="1530"/>
      <c r="AL90" s="1530"/>
      <c r="AM90" s="1530"/>
      <c r="AN90" s="1530"/>
      <c r="AO90" s="1530"/>
      <c r="AP90" s="1530"/>
      <c r="AQ90" s="1530"/>
      <c r="AR90" s="1530"/>
      <c r="AS90" s="1530"/>
      <c r="AT90" s="1530"/>
      <c r="AU90" s="17"/>
      <c r="AV90" s="17"/>
      <c r="AW90" s="17"/>
      <c r="AX90" s="17"/>
      <c r="AY90" s="17"/>
      <c r="AZ90" s="20"/>
    </row>
    <row r="91" spans="1:52"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A92" s="1531" t="s">
        <v>2524</v>
      </c>
      <c r="B92" s="1531"/>
      <c r="C92" s="1531"/>
      <c r="D92" s="1531"/>
      <c r="E92" s="1531"/>
      <c r="F92" s="1531"/>
      <c r="G92" s="1531"/>
      <c r="H92" s="1531"/>
      <c r="I92" s="1531"/>
      <c r="J92" s="1531"/>
      <c r="K92" s="1531"/>
      <c r="L92" s="1531"/>
      <c r="M92" s="1531"/>
      <c r="N92" s="1531"/>
      <c r="O92" s="1531"/>
      <c r="P92" s="1531"/>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20"/>
      <c r="AV92" s="20"/>
      <c r="AW92" s="20"/>
      <c r="AX92" s="20"/>
      <c r="AY92" s="20"/>
      <c r="AZ92" s="20"/>
    </row>
    <row r="93" spans="1:52" ht="12.9" customHeight="1">
      <c r="A93" s="1531"/>
      <c r="B93" s="1531"/>
      <c r="C93" s="1531"/>
      <c r="D93" s="1531"/>
      <c r="E93" s="1531"/>
      <c r="F93" s="1531"/>
      <c r="G93" s="1531"/>
      <c r="H93" s="1531"/>
      <c r="I93" s="1531"/>
      <c r="J93" s="1531"/>
      <c r="K93" s="1531"/>
      <c r="L93" s="1531"/>
      <c r="M93" s="1531"/>
      <c r="N93" s="1531"/>
      <c r="O93" s="1531"/>
      <c r="P93" s="1531"/>
      <c r="Q93" s="1531"/>
      <c r="R93" s="1531"/>
      <c r="S93" s="1531"/>
      <c r="T93" s="1531"/>
      <c r="U93" s="1531"/>
      <c r="V93" s="1531"/>
      <c r="W93" s="1531"/>
      <c r="X93" s="1531"/>
      <c r="Y93" s="1531"/>
      <c r="Z93" s="1531"/>
      <c r="AA93" s="1531"/>
      <c r="AB93" s="1531"/>
      <c r="AC93" s="1531"/>
      <c r="AD93" s="1531"/>
      <c r="AE93" s="1531"/>
      <c r="AF93" s="1531"/>
      <c r="AG93" s="1531"/>
      <c r="AH93" s="1531"/>
      <c r="AI93" s="1531"/>
      <c r="AJ93" s="1531"/>
      <c r="AK93" s="1531"/>
      <c r="AL93" s="1531"/>
      <c r="AM93" s="1531"/>
      <c r="AN93" s="1531"/>
      <c r="AO93" s="1531"/>
      <c r="AP93" s="1531"/>
      <c r="AQ93" s="1531"/>
      <c r="AR93" s="1531"/>
      <c r="AS93" s="1531"/>
      <c r="AT93" s="1531"/>
      <c r="AU93" s="20"/>
      <c r="AV93" s="20"/>
      <c r="AW93" s="20"/>
      <c r="AX93" s="20"/>
      <c r="AY93" s="20"/>
      <c r="AZ93" s="20"/>
    </row>
    <row r="94" spans="1:52" ht="12.9" customHeight="1">
      <c r="A94" s="1531"/>
      <c r="B94" s="1531"/>
      <c r="C94" s="1531"/>
      <c r="D94" s="1531"/>
      <c r="E94" s="1531"/>
      <c r="F94" s="1531"/>
      <c r="G94" s="1531"/>
      <c r="H94" s="1531"/>
      <c r="I94" s="1531"/>
      <c r="J94" s="1531"/>
      <c r="K94" s="1531"/>
      <c r="L94" s="1531"/>
      <c r="M94" s="1531"/>
      <c r="N94" s="1531"/>
      <c r="O94" s="1531"/>
      <c r="P94" s="1531"/>
      <c r="Q94" s="1531"/>
      <c r="R94" s="1531"/>
      <c r="S94" s="1531"/>
      <c r="T94" s="1531"/>
      <c r="U94" s="1531"/>
      <c r="V94" s="1531"/>
      <c r="W94" s="1531"/>
      <c r="X94" s="1531"/>
      <c r="Y94" s="1531"/>
      <c r="Z94" s="1531"/>
      <c r="AA94" s="1531"/>
      <c r="AB94" s="1531"/>
      <c r="AC94" s="1531"/>
      <c r="AD94" s="1531"/>
      <c r="AE94" s="1531"/>
      <c r="AF94" s="1531"/>
      <c r="AG94" s="1531"/>
      <c r="AH94" s="1531"/>
      <c r="AI94" s="1531"/>
      <c r="AJ94" s="1531"/>
      <c r="AK94" s="1531"/>
      <c r="AL94" s="1531"/>
      <c r="AM94" s="1531"/>
      <c r="AN94" s="1531"/>
      <c r="AO94" s="1531"/>
      <c r="AP94" s="1531"/>
      <c r="AQ94" s="1531"/>
      <c r="AR94" s="1531"/>
      <c r="AS94" s="1531"/>
      <c r="AT94" s="1531"/>
      <c r="AU94" s="20"/>
      <c r="AV94" s="20"/>
      <c r="AW94" s="20"/>
      <c r="AX94" s="20"/>
      <c r="AY94" s="20"/>
      <c r="AZ94" s="20"/>
    </row>
    <row r="95" spans="1:52" ht="12.9" customHeight="1">
      <c r="A95" s="1531"/>
      <c r="B95" s="1531"/>
      <c r="C95" s="1531"/>
      <c r="D95" s="1531"/>
      <c r="E95" s="1531"/>
      <c r="F95" s="1531"/>
      <c r="G95" s="1531"/>
      <c r="H95" s="1531"/>
      <c r="I95" s="1531"/>
      <c r="J95" s="1531"/>
      <c r="K95" s="1531"/>
      <c r="L95" s="1531"/>
      <c r="M95" s="1531"/>
      <c r="N95" s="1531"/>
      <c r="O95" s="1531"/>
      <c r="P95" s="1531"/>
      <c r="Q95" s="1531"/>
      <c r="R95" s="1531"/>
      <c r="S95" s="1531"/>
      <c r="T95" s="1531"/>
      <c r="U95" s="1531"/>
      <c r="V95" s="1531"/>
      <c r="W95" s="1531"/>
      <c r="X95" s="1531"/>
      <c r="Y95" s="1531"/>
      <c r="Z95" s="1531"/>
      <c r="AA95" s="1531"/>
      <c r="AB95" s="1531"/>
      <c r="AC95" s="1531"/>
      <c r="AD95" s="1531"/>
      <c r="AE95" s="1531"/>
      <c r="AF95" s="1531"/>
      <c r="AG95" s="1531"/>
      <c r="AH95" s="1531"/>
      <c r="AI95" s="1531"/>
      <c r="AJ95" s="1531"/>
      <c r="AK95" s="1531"/>
      <c r="AL95" s="1531"/>
      <c r="AM95" s="1531"/>
      <c r="AN95" s="1531"/>
      <c r="AO95" s="1531"/>
      <c r="AP95" s="1531"/>
      <c r="AQ95" s="1531"/>
      <c r="AR95" s="1531"/>
      <c r="AS95" s="1531"/>
      <c r="AT95" s="1531"/>
      <c r="AU95" s="20"/>
      <c r="AV95" s="20"/>
      <c r="AW95" s="20"/>
      <c r="AX95" s="20"/>
      <c r="AY95" s="20"/>
      <c r="AZ95" s="20"/>
    </row>
    <row r="96" spans="1:52" ht="12.9" customHeight="1">
      <c r="A96" s="1531"/>
      <c r="B96" s="1531"/>
      <c r="C96" s="1531"/>
      <c r="D96" s="1531"/>
      <c r="E96" s="1531"/>
      <c r="F96" s="1531"/>
      <c r="G96" s="1531"/>
      <c r="H96" s="1531"/>
      <c r="I96" s="1531"/>
      <c r="J96" s="1531"/>
      <c r="K96" s="1531"/>
      <c r="L96" s="1531"/>
      <c r="M96" s="1531"/>
      <c r="N96" s="1531"/>
      <c r="O96" s="1531"/>
      <c r="P96" s="1531"/>
      <c r="Q96" s="1531"/>
      <c r="R96" s="1531"/>
      <c r="S96" s="1531"/>
      <c r="T96" s="1531"/>
      <c r="U96" s="1531"/>
      <c r="V96" s="1531"/>
      <c r="W96" s="1531"/>
      <c r="X96" s="1531"/>
      <c r="Y96" s="1531"/>
      <c r="Z96" s="1531"/>
      <c r="AA96" s="1531"/>
      <c r="AB96" s="1531"/>
      <c r="AC96" s="1531"/>
      <c r="AD96" s="1531"/>
      <c r="AE96" s="1531"/>
      <c r="AF96" s="1531"/>
      <c r="AG96" s="1531"/>
      <c r="AH96" s="1531"/>
      <c r="AI96" s="1531"/>
      <c r="AJ96" s="1531"/>
      <c r="AK96" s="1531"/>
      <c r="AL96" s="1531"/>
      <c r="AM96" s="1531"/>
      <c r="AN96" s="1531"/>
      <c r="AO96" s="1531"/>
      <c r="AP96" s="1531"/>
      <c r="AQ96" s="1531"/>
      <c r="AR96" s="1531"/>
      <c r="AS96" s="1531"/>
      <c r="AT96" s="1531"/>
      <c r="AU96" s="20"/>
      <c r="AV96" s="20"/>
      <c r="AW96" s="20"/>
      <c r="AX96" s="20"/>
      <c r="AY96" s="20"/>
      <c r="AZ96" s="20"/>
    </row>
    <row r="97" spans="1:52" ht="12.9" customHeight="1">
      <c r="A97" s="1531"/>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20"/>
      <c r="AV97" s="20"/>
      <c r="AW97" s="20"/>
      <c r="AX97" s="20"/>
      <c r="AY97" s="20"/>
      <c r="AZ97" s="20"/>
    </row>
    <row r="98" spans="1:52" ht="12.9" customHeight="1">
      <c r="A98" s="1531"/>
      <c r="B98" s="1531"/>
      <c r="C98" s="1531"/>
      <c r="D98" s="1531"/>
      <c r="E98" s="1531"/>
      <c r="F98" s="1531"/>
      <c r="G98" s="1531"/>
      <c r="H98" s="1531"/>
      <c r="I98" s="1531"/>
      <c r="J98" s="1531"/>
      <c r="K98" s="1531"/>
      <c r="L98" s="1531"/>
      <c r="M98" s="1531"/>
      <c r="N98" s="1531"/>
      <c r="O98" s="1531"/>
      <c r="P98" s="1531"/>
      <c r="Q98" s="1531"/>
      <c r="R98" s="1531"/>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1302" t="s">
        <v>2525</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1302" t="s">
        <v>2526</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c r="C113" s="3" t="s">
        <v>181</v>
      </c>
      <c r="G113" s="1407"/>
      <c r="H113" s="1407"/>
      <c r="I113" s="3" t="s">
        <v>182</v>
      </c>
      <c r="L113" s="1407"/>
      <c r="M113" s="1407"/>
      <c r="N113" s="1407"/>
      <c r="O113" s="1407"/>
      <c r="P113" s="1555" t="s">
        <v>2528</v>
      </c>
      <c r="Q113" s="1555"/>
      <c r="R113" s="1555"/>
      <c r="S113" s="155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c r="C115" s="1539"/>
      <c r="D115" s="1539"/>
      <c r="E115" s="1539"/>
      <c r="F115" s="1539"/>
      <c r="G115" s="1539"/>
      <c r="H115" s="1539"/>
      <c r="I115" s="1539"/>
      <c r="J115" s="1539"/>
      <c r="K115" s="1539"/>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c r="B117" s="22"/>
      <c r="C117" s="22"/>
      <c r="X117" s="3" t="s">
        <v>636</v>
      </c>
      <c r="Y117" s="1407"/>
      <c r="Z117" s="1407"/>
      <c r="AA117" s="1407"/>
      <c r="AB117" s="1407"/>
      <c r="AC117" s="1407"/>
      <c r="AD117" s="1407"/>
      <c r="AE117" s="1407"/>
      <c r="AF117" s="1407"/>
      <c r="AG117" s="1407"/>
      <c r="AH117" s="1407"/>
      <c r="AI117" s="1407"/>
      <c r="AJ117" s="1407"/>
      <c r="AK117" s="1407"/>
    </row>
    <row r="118" spans="1:51" ht="12.9" customHeight="1">
      <c r="X118" s="3"/>
      <c r="Y118" s="3"/>
      <c r="Z118" s="3" t="s">
        <v>637</v>
      </c>
      <c r="AA118" s="3"/>
      <c r="AB118" s="3"/>
      <c r="AC118" s="3"/>
      <c r="AD118" s="3"/>
      <c r="AE118" s="3"/>
      <c r="AF118" s="3"/>
      <c r="AG118" s="3"/>
      <c r="AH118" s="3"/>
      <c r="AI118" s="3"/>
      <c r="AJ118" s="3"/>
      <c r="AK118" s="3"/>
    </row>
    <row r="119" spans="1:51"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91"/>
      <c r="B120" s="3"/>
      <c r="P120" s="3"/>
      <c r="Q120" s="3"/>
      <c r="R120" s="3"/>
      <c r="S120" s="3"/>
      <c r="T120" s="3"/>
      <c r="U120" s="3"/>
      <c r="V120" s="3"/>
      <c r="W120" s="3"/>
      <c r="X120" s="3"/>
      <c r="Y120" s="1407" t="s">
        <v>2667</v>
      </c>
      <c r="Z120" s="1407"/>
      <c r="AA120" s="1407"/>
      <c r="AB120" s="1407"/>
      <c r="AC120" s="1407"/>
      <c r="AD120" s="1407"/>
      <c r="AE120" s="1407"/>
      <c r="AF120" s="1407"/>
      <c r="AG120" s="1407"/>
      <c r="AH120" s="1407"/>
      <c r="AI120" s="1407"/>
      <c r="AJ120" s="1407"/>
      <c r="AK120" s="1407"/>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407" t="s">
        <v>2772</v>
      </c>
      <c r="Z123" s="1407"/>
      <c r="AA123" s="1407"/>
      <c r="AB123" s="1407"/>
      <c r="AC123" s="1407"/>
      <c r="AD123" s="1407"/>
      <c r="AE123" s="1407"/>
      <c r="AF123" s="1407"/>
      <c r="AG123" s="1407"/>
      <c r="AH123" s="1407"/>
      <c r="AI123" s="1407"/>
      <c r="AJ123" s="1407"/>
      <c r="AK123" s="1407"/>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385"/>
      <c r="AL128" s="385"/>
      <c r="AM128" s="385"/>
      <c r="AN128" s="385"/>
      <c r="AO128" s="385"/>
      <c r="AP128" s="385"/>
      <c r="AQ128" s="385"/>
      <c r="AR128" s="385"/>
      <c r="AS128" s="385"/>
      <c r="AT128" s="385"/>
      <c r="AU128" s="385"/>
      <c r="AV128" s="385"/>
      <c r="AW128" s="385"/>
      <c r="AX128" s="385"/>
      <c r="AY128" s="385"/>
    </row>
    <row r="129" spans="1:51" ht="12.9"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653</v>
      </c>
      <c r="O153" s="1487" t="s">
        <v>2638</v>
      </c>
      <c r="P153" s="1520"/>
      <c r="Q153" s="1520"/>
      <c r="R153" s="1520"/>
      <c r="S153" s="1520"/>
      <c r="T153" s="1520"/>
      <c r="U153" s="1520"/>
      <c r="V153" s="1520"/>
      <c r="W153" s="1520"/>
      <c r="X153" s="1520"/>
      <c r="Y153" s="1520"/>
      <c r="Z153" s="1520"/>
      <c r="AA153" s="1520"/>
      <c r="AB153" s="1520"/>
      <c r="AC153" s="1520"/>
      <c r="AD153" s="1520"/>
      <c r="AE153" s="1520"/>
      <c r="AF153" s="1520"/>
      <c r="AG153" s="1520"/>
      <c r="AH153" s="1520"/>
    </row>
    <row r="154" spans="1:72" ht="12.9" customHeight="1">
      <c r="D154" s="325" t="s">
        <v>442</v>
      </c>
      <c r="O154" s="1444" t="s">
        <v>2661</v>
      </c>
      <c r="P154" s="1377"/>
      <c r="Q154" s="1377"/>
      <c r="R154" s="1377"/>
      <c r="S154" s="1377"/>
      <c r="T154" s="1377"/>
      <c r="U154" s="1377"/>
      <c r="V154" s="1377"/>
      <c r="W154" s="1377"/>
      <c r="X154" s="1377"/>
      <c r="Y154" s="1377"/>
      <c r="Z154" s="1377"/>
      <c r="AA154" s="1377"/>
      <c r="AB154" s="1377"/>
      <c r="AC154" s="1377"/>
      <c r="AD154" s="1377"/>
      <c r="AE154" s="1377"/>
      <c r="AF154" s="1377"/>
      <c r="AG154" s="1377"/>
      <c r="AH154" s="1377"/>
    </row>
    <row r="155" spans="1:72" ht="12.9" customHeight="1">
      <c r="D155" s="8" t="s">
        <v>443</v>
      </c>
      <c r="F155" s="8"/>
      <c r="G155" s="8"/>
      <c r="H155" s="8"/>
      <c r="I155" s="8"/>
      <c r="J155" s="8"/>
      <c r="K155" s="8"/>
      <c r="L155" s="8"/>
      <c r="M155" s="8"/>
      <c r="N155" s="8"/>
      <c r="O155" s="1551" t="s">
        <v>2662</v>
      </c>
      <c r="P155" s="1552"/>
      <c r="Q155" s="1552"/>
      <c r="R155" s="1552"/>
      <c r="S155" s="1552"/>
      <c r="T155" s="1552"/>
      <c r="U155" s="1552"/>
      <c r="V155" s="1552"/>
      <c r="W155" s="1552"/>
      <c r="X155" s="1552"/>
      <c r="Y155" s="1552"/>
      <c r="Z155" s="1552"/>
      <c r="AA155" s="1552"/>
      <c r="AB155" s="1552"/>
      <c r="AC155" s="1552"/>
      <c r="AD155" s="1552"/>
      <c r="AE155" s="1552"/>
      <c r="AF155" s="1552"/>
      <c r="AG155" s="1552"/>
      <c r="AH155" s="1552"/>
    </row>
    <row r="156" spans="1:72" ht="12.9" customHeight="1">
      <c r="D156" t="s">
        <v>314</v>
      </c>
      <c r="O156" s="1364" t="s">
        <v>2639</v>
      </c>
      <c r="P156" s="1364"/>
      <c r="Q156" s="1364"/>
      <c r="R156" s="1364"/>
      <c r="S156" s="1364"/>
      <c r="T156" s="1364"/>
      <c r="U156" s="1364"/>
      <c r="V156" s="1364"/>
      <c r="W156" s="1364"/>
      <c r="X156" s="1364"/>
      <c r="Y156" s="1364"/>
      <c r="Z156" s="1364"/>
      <c r="AA156" s="1364"/>
      <c r="AB156" s="1364"/>
      <c r="AC156" s="1364"/>
      <c r="AD156" s="1364"/>
      <c r="AE156" s="1364"/>
      <c r="AF156" s="1364"/>
      <c r="AG156" s="1364"/>
      <c r="AH156" s="1364"/>
      <c r="BT156" t="s">
        <v>308</v>
      </c>
    </row>
    <row r="157" spans="1:72" ht="12.9" customHeight="1">
      <c r="D157" t="s">
        <v>315</v>
      </c>
      <c r="O157" s="1487" t="s">
        <v>2636</v>
      </c>
      <c r="P157" s="1520"/>
      <c r="Q157" s="1520"/>
      <c r="R157" s="1520"/>
      <c r="S157" s="1520"/>
      <c r="T157" s="1520"/>
      <c r="U157" s="1520"/>
      <c r="V157" s="1520"/>
      <c r="W157" s="1520"/>
      <c r="X157" s="1520"/>
      <c r="Y157" s="8"/>
      <c r="Z157" s="8"/>
      <c r="AA157" s="8"/>
      <c r="AB157" s="8"/>
      <c r="AC157" s="8"/>
      <c r="AD157" s="8"/>
      <c r="AE157" s="8"/>
      <c r="AF157" s="8"/>
      <c r="BN157" s="23" t="s">
        <v>644</v>
      </c>
      <c r="BT157" t="s">
        <v>484</v>
      </c>
    </row>
    <row r="158" spans="1:72" ht="12.9" customHeight="1">
      <c r="D158" t="s">
        <v>316</v>
      </c>
      <c r="O158" s="1553">
        <v>93060</v>
      </c>
      <c r="P158" s="1553"/>
      <c r="Q158" s="1553"/>
      <c r="R158" s="1553"/>
      <c r="S158" s="9"/>
      <c r="T158" s="9"/>
      <c r="U158" s="9"/>
      <c r="V158" s="9"/>
      <c r="W158" s="9"/>
      <c r="X158" s="9"/>
      <c r="Y158" s="9"/>
      <c r="Z158" s="9"/>
      <c r="AA158" s="9"/>
      <c r="AB158" s="9"/>
      <c r="AC158" s="9"/>
      <c r="AD158" s="9"/>
      <c r="AE158" s="9"/>
      <c r="AF158" s="9"/>
      <c r="BN158" s="23" t="s">
        <v>645</v>
      </c>
      <c r="BT158" t="s">
        <v>485</v>
      </c>
    </row>
    <row r="159" spans="1:72" ht="12.9" customHeight="1">
      <c r="D159" t="s">
        <v>317</v>
      </c>
      <c r="O159" s="1536">
        <v>8055254478</v>
      </c>
      <c r="P159" s="1536"/>
      <c r="Q159" s="1536"/>
      <c r="R159" s="1536"/>
      <c r="S159" s="1536"/>
      <c r="T159" s="1536"/>
      <c r="V159" s="97" t="s">
        <v>272</v>
      </c>
      <c r="W159" s="1554"/>
      <c r="X159" s="1554"/>
      <c r="Y159" s="10"/>
      <c r="Z159" s="10"/>
      <c r="AA159" s="10"/>
      <c r="AB159" s="10"/>
      <c r="AC159" s="10"/>
      <c r="AD159" s="10"/>
      <c r="AE159" s="10"/>
      <c r="AF159" s="10"/>
      <c r="BN159" s="23" t="s">
        <v>340</v>
      </c>
      <c r="BT159" t="s">
        <v>486</v>
      </c>
    </row>
    <row r="160" spans="1:72" ht="12.9" customHeight="1">
      <c r="D160" t="s">
        <v>318</v>
      </c>
      <c r="O160" s="1536">
        <v>8055256278</v>
      </c>
      <c r="P160" s="1536"/>
      <c r="Q160" s="1536"/>
      <c r="R160" s="1536"/>
      <c r="S160" s="1536"/>
      <c r="T160" s="1536"/>
      <c r="U160" s="10"/>
      <c r="V160" s="10"/>
      <c r="W160" s="10"/>
      <c r="X160" s="10"/>
      <c r="Y160" s="10"/>
      <c r="Z160" s="10"/>
      <c r="AA160" s="10"/>
      <c r="AB160" s="10"/>
      <c r="AC160" s="10"/>
      <c r="AD160" s="10"/>
      <c r="AE160" s="10"/>
      <c r="AF160" s="10"/>
      <c r="BN160" s="23" t="s">
        <v>668</v>
      </c>
      <c r="BT160" t="s">
        <v>487</v>
      </c>
    </row>
    <row r="161" spans="1:72" ht="12.9" customHeight="1">
      <c r="D161" t="s">
        <v>319</v>
      </c>
      <c r="O161" s="1523" t="s">
        <v>2663</v>
      </c>
      <c r="P161" s="1523"/>
      <c r="Q161" s="1523"/>
      <c r="R161" s="1523"/>
      <c r="S161" s="1523"/>
      <c r="T161" s="1523"/>
      <c r="U161" s="1523"/>
      <c r="V161" s="1523"/>
      <c r="W161" s="1523"/>
      <c r="X161" s="1523"/>
      <c r="Y161" s="1523"/>
      <c r="Z161" s="1523"/>
      <c r="AA161" s="1523"/>
      <c r="AB161" s="1523"/>
      <c r="AC161" s="1523"/>
      <c r="AD161" s="1523"/>
      <c r="AE161" s="1523"/>
      <c r="AF161" s="1523"/>
      <c r="AG161" s="1523"/>
      <c r="AH161" s="1523"/>
      <c r="BJ161" t="s">
        <v>677</v>
      </c>
      <c r="BN161" s="23" t="s">
        <v>669</v>
      </c>
      <c r="BT161" t="s">
        <v>488</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 customHeight="1">
      <c r="C164" s="27"/>
      <c r="D164" s="1540" t="s">
        <v>2623</v>
      </c>
      <c r="E164" s="1540"/>
      <c r="F164" s="1540"/>
      <c r="G164" s="1540"/>
      <c r="H164" s="1540"/>
      <c r="I164" s="1540"/>
      <c r="J164" s="1540"/>
      <c r="K164" s="1540"/>
      <c r="L164" s="1540"/>
      <c r="M164" s="1540"/>
      <c r="N164" s="1540"/>
      <c r="O164" s="1540"/>
      <c r="P164" s="1540"/>
      <c r="Q164" s="1540"/>
      <c r="R164" s="1540"/>
      <c r="S164" s="1540"/>
      <c r="T164" s="1540"/>
      <c r="U164" s="1540"/>
      <c r="V164" s="1540"/>
      <c r="W164" s="1540"/>
      <c r="X164" s="1540"/>
      <c r="Y164" s="1540"/>
      <c r="Z164" s="1540"/>
      <c r="AA164" s="1540"/>
      <c r="AB164" s="1540"/>
      <c r="AC164" s="1540"/>
      <c r="AD164" s="1540"/>
      <c r="AE164" s="1540"/>
      <c r="AF164" s="1540"/>
      <c r="AG164" s="1540"/>
      <c r="AH164" s="1540"/>
      <c r="BN164" s="23" t="s">
        <v>672</v>
      </c>
      <c r="BT164" t="s">
        <v>491</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 customHeight="1">
      <c r="A169" s="1661" t="s">
        <v>547</v>
      </c>
      <c r="B169" s="1661"/>
      <c r="C169" s="1661"/>
      <c r="D169" s="1661"/>
      <c r="E169" s="1661"/>
      <c r="F169" s="1661"/>
      <c r="G169" s="1661"/>
      <c r="H169" s="1661"/>
      <c r="I169" s="1661"/>
      <c r="J169" s="1661"/>
      <c r="K169" s="1661"/>
      <c r="L169" s="1661"/>
      <c r="M169" s="1661"/>
      <c r="N169" s="1661"/>
      <c r="O169" s="1661"/>
      <c r="P169" s="1661"/>
      <c r="Q169" s="1661"/>
      <c r="R169" s="1661"/>
      <c r="S169" s="1661"/>
      <c r="T169" s="1661"/>
      <c r="U169" s="1661"/>
      <c r="V169" s="1661"/>
      <c r="W169" s="1661"/>
      <c r="X169" s="1661"/>
      <c r="Y169" s="1661"/>
      <c r="Z169" s="1661"/>
      <c r="AA169" s="1661"/>
      <c r="AB169" s="1661"/>
      <c r="AC169" s="1661"/>
      <c r="AD169" s="1661"/>
      <c r="AE169" s="1661"/>
      <c r="AF169" s="1661"/>
      <c r="AG169" s="1661"/>
      <c r="AH169" s="1661"/>
      <c r="AI169" s="1661"/>
      <c r="AJ169" s="1661"/>
      <c r="AK169" s="1661"/>
      <c r="AL169" s="1661"/>
      <c r="AM169" s="1661"/>
      <c r="AN169" s="1661"/>
      <c r="AO169" s="1661"/>
      <c r="AP169" s="1661"/>
      <c r="AQ169" s="1661"/>
      <c r="AR169" s="1661"/>
      <c r="AS169" s="1661"/>
      <c r="AT169" s="1661"/>
      <c r="AU169" s="95"/>
      <c r="AV169" s="95"/>
      <c r="AW169" s="95"/>
      <c r="AX169" s="95"/>
      <c r="AY169" s="95"/>
      <c r="BN169" s="23" t="s">
        <v>681</v>
      </c>
      <c r="BT169" t="s">
        <v>496</v>
      </c>
    </row>
    <row r="170" spans="1:72" ht="12.9" customHeight="1">
      <c r="A170" s="1661"/>
      <c r="B170" s="1661"/>
      <c r="C170" s="1661"/>
      <c r="D170" s="1661"/>
      <c r="E170" s="1661"/>
      <c r="F170" s="1661"/>
      <c r="G170" s="1661"/>
      <c r="H170" s="1661"/>
      <c r="I170" s="1661"/>
      <c r="J170" s="1661"/>
      <c r="K170" s="1661"/>
      <c r="L170" s="1661"/>
      <c r="M170" s="1661"/>
      <c r="N170" s="1661"/>
      <c r="O170" s="1661"/>
      <c r="P170" s="1661"/>
      <c r="Q170" s="1661"/>
      <c r="R170" s="1661"/>
      <c r="S170" s="1661"/>
      <c r="T170" s="1661"/>
      <c r="U170" s="1661"/>
      <c r="V170" s="1661"/>
      <c r="W170" s="1661"/>
      <c r="X170" s="1661"/>
      <c r="Y170" s="1661"/>
      <c r="Z170" s="1661"/>
      <c r="AA170" s="1661"/>
      <c r="AB170" s="1661"/>
      <c r="AC170" s="1661"/>
      <c r="AD170" s="1661"/>
      <c r="AE170" s="1661"/>
      <c r="AF170" s="1661"/>
      <c r="AG170" s="1661"/>
      <c r="AH170" s="1661"/>
      <c r="AI170" s="1661"/>
      <c r="AJ170" s="1661"/>
      <c r="AK170" s="1661"/>
      <c r="AL170" s="1661"/>
      <c r="AM170" s="1661"/>
      <c r="AN170" s="1661"/>
      <c r="AO170" s="1661"/>
      <c r="AP170" s="1661"/>
      <c r="AQ170" s="1661"/>
      <c r="AR170" s="1661"/>
      <c r="AS170" s="1661"/>
      <c r="AT170" s="1661"/>
      <c r="AU170" s="95"/>
      <c r="AV170" s="95"/>
      <c r="AW170" s="95"/>
      <c r="AX170" s="95"/>
      <c r="AY170" s="95"/>
      <c r="BN170" s="23" t="s">
        <v>682</v>
      </c>
      <c r="BT170" t="s">
        <v>497</v>
      </c>
    </row>
    <row r="171" spans="1:72" ht="12.9" customHeight="1">
      <c r="BN171" s="23" t="s">
        <v>212</v>
      </c>
      <c r="BT171" t="s">
        <v>498</v>
      </c>
    </row>
    <row r="172" spans="1:72" ht="12.9" customHeight="1">
      <c r="A172" s="2" t="s">
        <v>320</v>
      </c>
      <c r="C172" s="2" t="s">
        <v>321</v>
      </c>
      <c r="BN172" s="23" t="s">
        <v>214</v>
      </c>
      <c r="BT172" t="s">
        <v>499</v>
      </c>
    </row>
    <row r="173" spans="1:72" ht="12.9" customHeight="1">
      <c r="C173" s="24"/>
      <c r="D173" t="s">
        <v>322</v>
      </c>
      <c r="J173" s="1550" t="s">
        <v>372</v>
      </c>
      <c r="K173" s="1550"/>
      <c r="L173" s="1550"/>
      <c r="M173" s="1550"/>
      <c r="N173" s="1550"/>
      <c r="O173" s="1550"/>
      <c r="P173" s="1550"/>
      <c r="Q173" s="1550"/>
      <c r="R173" s="1550"/>
      <c r="S173" s="1550"/>
      <c r="U173" s="25"/>
      <c r="X173" s="25"/>
      <c r="BB173" s="3" t="s">
        <v>308</v>
      </c>
      <c r="BN173" s="23" t="s">
        <v>215</v>
      </c>
      <c r="BT173" t="s">
        <v>500</v>
      </c>
    </row>
    <row r="174" spans="1:72" ht="12.9" customHeight="1">
      <c r="C174" s="24"/>
      <c r="D174" s="3" t="s">
        <v>1308</v>
      </c>
      <c r="J174" s="1364" t="s">
        <v>2418</v>
      </c>
      <c r="K174" s="1364"/>
      <c r="L174" s="1364"/>
      <c r="M174" s="1364"/>
      <c r="N174" s="1364"/>
      <c r="O174" s="1364"/>
      <c r="P174" s="1364"/>
      <c r="Q174" s="1364"/>
      <c r="R174" s="1364"/>
      <c r="S174" s="1364"/>
      <c r="T174" s="1364"/>
      <c r="U174" s="1364"/>
      <c r="V174" s="1364"/>
      <c r="W174" s="1364"/>
      <c r="X174" s="1364"/>
      <c r="Y174" s="1364"/>
      <c r="Z174" s="1364"/>
      <c r="AA174" s="1364"/>
      <c r="AB174" s="1364"/>
      <c r="BB174" t="s">
        <v>2271</v>
      </c>
      <c r="BN174" s="23" t="s">
        <v>217</v>
      </c>
      <c r="BT174" t="s">
        <v>501</v>
      </c>
    </row>
    <row r="175" spans="1:72" ht="12.9" customHeight="1">
      <c r="C175" s="8"/>
      <c r="D175" s="3" t="s">
        <v>323</v>
      </c>
      <c r="O175" s="27"/>
      <c r="U175" s="1374" t="s">
        <v>677</v>
      </c>
      <c r="V175" s="1374"/>
      <c r="BB175" t="s">
        <v>2235</v>
      </c>
      <c r="BN175" s="23" t="s">
        <v>218</v>
      </c>
      <c r="BT175" t="s">
        <v>502</v>
      </c>
    </row>
    <row r="176" spans="1:72" ht="12.9" customHeight="1">
      <c r="C176" s="8"/>
      <c r="D176" s="26"/>
      <c r="E176" t="s">
        <v>305</v>
      </c>
      <c r="O176" s="27"/>
      <c r="P176" t="s">
        <v>2393</v>
      </c>
      <c r="T176" s="27" t="s">
        <v>306</v>
      </c>
      <c r="U176" s="1543"/>
      <c r="V176" s="1543"/>
      <c r="W176" s="1" t="s">
        <v>307</v>
      </c>
      <c r="X176" s="1532"/>
      <c r="Y176" s="1532"/>
      <c r="BB176" t="s">
        <v>2272</v>
      </c>
      <c r="BN176" s="23" t="s">
        <v>220</v>
      </c>
      <c r="BT176" t="s">
        <v>503</v>
      </c>
    </row>
    <row r="177" spans="1:72" ht="12.9" customHeight="1">
      <c r="C177" s="24"/>
      <c r="D177" t="s">
        <v>250</v>
      </c>
      <c r="R177" s="1374" t="s">
        <v>677</v>
      </c>
      <c r="S177" s="1374"/>
      <c r="BB177" t="s">
        <v>2577</v>
      </c>
      <c r="BN177" s="23" t="s">
        <v>221</v>
      </c>
      <c r="BT177" t="s">
        <v>504</v>
      </c>
    </row>
    <row r="178" spans="1:72" ht="12.9" customHeight="1">
      <c r="C178" s="24"/>
      <c r="D178" s="3" t="s">
        <v>1309</v>
      </c>
      <c r="AA178" t="s">
        <v>2393</v>
      </c>
      <c r="AE178" s="27" t="s">
        <v>306</v>
      </c>
      <c r="AF178" s="1538"/>
      <c r="AG178" s="1538"/>
      <c r="AH178" s="1" t="s">
        <v>307</v>
      </c>
      <c r="AI178" s="1537"/>
      <c r="AJ178" s="1537"/>
      <c r="AK178" s="1537"/>
      <c r="BB178" t="s">
        <v>2578</v>
      </c>
      <c r="BN178" s="23" t="s">
        <v>222</v>
      </c>
      <c r="BT178" t="s">
        <v>53</v>
      </c>
    </row>
    <row r="179" spans="1:72" ht="12.9" customHeight="1">
      <c r="C179" s="24"/>
      <c r="BN179" s="23" t="s">
        <v>223</v>
      </c>
      <c r="BT179" t="s">
        <v>54</v>
      </c>
    </row>
    <row r="180" spans="1:72" ht="12.9" customHeight="1">
      <c r="C180" s="24"/>
      <c r="D180" t="s">
        <v>2394</v>
      </c>
      <c r="X180" s="1374" t="s">
        <v>677</v>
      </c>
      <c r="Y180" s="1374"/>
      <c r="BN180" s="23" t="s">
        <v>225</v>
      </c>
      <c r="BT180" t="s">
        <v>55</v>
      </c>
    </row>
    <row r="181" spans="1:72" ht="12.9" customHeight="1">
      <c r="C181" s="8"/>
      <c r="E181" s="4" t="s">
        <v>995</v>
      </c>
      <c r="BN181" s="23" t="s">
        <v>226</v>
      </c>
      <c r="BT181" t="s">
        <v>56</v>
      </c>
    </row>
    <row r="182" spans="1:72" ht="12.9" customHeight="1">
      <c r="C182" s="564"/>
      <c r="BN182" s="23" t="s">
        <v>227</v>
      </c>
      <c r="BT182" t="s">
        <v>60</v>
      </c>
    </row>
    <row r="183" spans="1:72" ht="12.9" customHeight="1">
      <c r="A183" s="2" t="s">
        <v>584</v>
      </c>
      <c r="C183" s="2" t="s">
        <v>585</v>
      </c>
      <c r="BN183" s="23" t="s">
        <v>229</v>
      </c>
      <c r="BT183" t="s">
        <v>61</v>
      </c>
    </row>
    <row r="184" spans="1:72" ht="12.9" customHeight="1">
      <c r="C184" s="21"/>
      <c r="D184" t="s">
        <v>586</v>
      </c>
      <c r="I184" s="1375" t="str">
        <f>H18</f>
        <v>Citrus Flats</v>
      </c>
      <c r="J184" s="1375"/>
      <c r="K184" s="1375"/>
      <c r="L184" s="1375"/>
      <c r="M184" s="1375"/>
      <c r="N184" s="1375"/>
      <c r="O184" s="1375"/>
      <c r="P184" s="1375"/>
      <c r="Q184" s="1375"/>
      <c r="R184" s="1375"/>
      <c r="S184" s="1375"/>
      <c r="T184" s="1375"/>
      <c r="U184" s="1375"/>
      <c r="V184" s="1375"/>
      <c r="W184" s="1375"/>
      <c r="X184" s="1375"/>
      <c r="Y184" s="1375"/>
      <c r="Z184" s="1375"/>
      <c r="AA184" s="1375"/>
      <c r="AB184" s="1375"/>
      <c r="AC184" s="1375"/>
      <c r="AD184" s="1375"/>
      <c r="AE184" s="1375"/>
      <c r="BC184" t="s">
        <v>595</v>
      </c>
      <c r="BN184" s="23" t="s">
        <v>231</v>
      </c>
      <c r="BT184" t="s">
        <v>62</v>
      </c>
    </row>
    <row r="185" spans="1:72" ht="12.9" customHeight="1">
      <c r="C185" s="21"/>
      <c r="D185" t="s">
        <v>587</v>
      </c>
      <c r="I185" s="1444" t="s">
        <v>2635</v>
      </c>
      <c r="J185" s="1376"/>
      <c r="K185" s="1376"/>
      <c r="L185" s="1376"/>
      <c r="M185" s="1376"/>
      <c r="N185" s="1376"/>
      <c r="O185" s="1376"/>
      <c r="P185" s="1376"/>
      <c r="Q185" s="1376"/>
      <c r="R185" s="1376"/>
      <c r="S185" s="1376"/>
      <c r="T185" s="1376"/>
      <c r="U185" s="1376"/>
      <c r="V185" s="1376"/>
      <c r="W185" s="1376"/>
      <c r="X185" s="1376"/>
      <c r="Y185" s="1376"/>
      <c r="Z185" s="1376"/>
      <c r="AA185" s="1376"/>
      <c r="AB185" s="1376"/>
      <c r="AC185" s="1376"/>
      <c r="AD185" s="1376"/>
      <c r="AE185" s="1376"/>
      <c r="BC185" t="s">
        <v>596</v>
      </c>
      <c r="BN185" s="23" t="s">
        <v>232</v>
      </c>
      <c r="BT185" t="s">
        <v>63</v>
      </c>
    </row>
    <row r="186" spans="1:72" ht="12.9" customHeight="1">
      <c r="C186" s="21"/>
      <c r="E186" t="s">
        <v>168</v>
      </c>
      <c r="BN186" s="23" t="s">
        <v>233</v>
      </c>
      <c r="BT186" t="s">
        <v>64</v>
      </c>
    </row>
    <row r="187" spans="1:72" ht="12.9" customHeight="1">
      <c r="C187" s="21"/>
      <c r="E187" s="1479"/>
      <c r="F187" s="1479"/>
      <c r="G187" s="1479"/>
      <c r="H187" s="1479"/>
      <c r="I187" s="1479"/>
      <c r="J187" s="1479"/>
      <c r="K187" s="1479"/>
      <c r="L187" s="1479"/>
      <c r="M187" s="1479"/>
      <c r="N187" s="1479"/>
      <c r="O187" s="1479"/>
      <c r="P187" s="1479"/>
      <c r="Q187" s="1479"/>
      <c r="R187" s="1479"/>
      <c r="S187" s="1479"/>
      <c r="T187" s="1479"/>
      <c r="U187" s="1479"/>
      <c r="V187" s="1479"/>
      <c r="W187" s="1479"/>
      <c r="X187" s="1479"/>
      <c r="Y187" s="1479"/>
      <c r="Z187" s="1479"/>
      <c r="AA187" s="1479"/>
      <c r="AB187" s="1479"/>
      <c r="AC187" s="1479"/>
      <c r="AD187" s="1479"/>
      <c r="AE187" s="1479"/>
      <c r="BN187" s="23" t="s">
        <v>234</v>
      </c>
      <c r="BT187" t="s">
        <v>65</v>
      </c>
    </row>
    <row r="188" spans="1:72" ht="12.9" customHeight="1">
      <c r="C188" s="21"/>
      <c r="E188" s="1480"/>
      <c r="F188" s="1480"/>
      <c r="G188" s="1480"/>
      <c r="H188" s="1480"/>
      <c r="I188" s="1480"/>
      <c r="J188" s="1480"/>
      <c r="K188" s="1480"/>
      <c r="L188" s="1480"/>
      <c r="M188" s="1480"/>
      <c r="N188" s="1480"/>
      <c r="O188" s="1480"/>
      <c r="P188" s="1480"/>
      <c r="Q188" s="1480"/>
      <c r="R188" s="1480"/>
      <c r="S188" s="1480"/>
      <c r="T188" s="1480"/>
      <c r="U188" s="1480"/>
      <c r="V188" s="1480"/>
      <c r="W188" s="1480"/>
      <c r="X188" s="1480"/>
      <c r="Y188" s="1480"/>
      <c r="Z188" s="1480"/>
      <c r="AA188" s="1480"/>
      <c r="AB188" s="1480"/>
      <c r="AC188" s="1480"/>
      <c r="AD188" s="1480"/>
      <c r="AE188" s="1480"/>
      <c r="BN188" s="23" t="s">
        <v>236</v>
      </c>
      <c r="BT188" t="s">
        <v>66</v>
      </c>
    </row>
    <row r="189" spans="1:72" ht="12.9" customHeight="1">
      <c r="C189" s="21"/>
      <c r="D189" t="s">
        <v>588</v>
      </c>
      <c r="I189" s="1487" t="s">
        <v>2636</v>
      </c>
      <c r="J189" s="1364"/>
      <c r="K189" s="1364"/>
      <c r="L189" s="1364"/>
      <c r="M189" s="1364"/>
      <c r="N189" s="1364"/>
      <c r="O189" s="1364"/>
      <c r="P189" s="1364"/>
      <c r="Q189" t="s">
        <v>590</v>
      </c>
      <c r="T189" s="1364" t="s">
        <v>204</v>
      </c>
      <c r="U189" s="1364"/>
      <c r="V189" s="1364"/>
      <c r="W189" s="1364"/>
      <c r="X189" s="1364"/>
      <c r="Y189" s="1364"/>
      <c r="Z189" s="1364"/>
      <c r="AA189" s="1364"/>
      <c r="AB189" s="1364"/>
      <c r="AC189" s="1364"/>
      <c r="AD189" s="1364"/>
      <c r="AE189" s="1364"/>
      <c r="BC189" t="s">
        <v>308</v>
      </c>
      <c r="BH189" s="3" t="s">
        <v>599</v>
      </c>
      <c r="BN189" s="23" t="s">
        <v>237</v>
      </c>
      <c r="BT189" t="s">
        <v>67</v>
      </c>
    </row>
    <row r="190" spans="1:72" ht="12.9" customHeight="1">
      <c r="C190" s="21"/>
      <c r="D190" t="s">
        <v>591</v>
      </c>
      <c r="I190" s="1376">
        <v>93060</v>
      </c>
      <c r="J190" s="1376"/>
      <c r="K190" s="1376"/>
      <c r="L190" s="1376"/>
      <c r="M190" s="1376"/>
      <c r="N190" s="1376"/>
      <c r="O190" t="s">
        <v>593</v>
      </c>
      <c r="T190" s="1535">
        <v>61110004</v>
      </c>
      <c r="U190" s="1535"/>
      <c r="V190" s="1535"/>
      <c r="W190" s="1535"/>
      <c r="X190" s="1535"/>
      <c r="Y190" s="1535"/>
      <c r="Z190" s="1535"/>
      <c r="AA190" s="1535"/>
      <c r="AB190" s="1535"/>
      <c r="AC190" s="1535"/>
      <c r="AD190" s="1535"/>
      <c r="AE190" s="1535"/>
      <c r="BC190" t="s">
        <v>1065</v>
      </c>
      <c r="BH190" t="s">
        <v>1065</v>
      </c>
      <c r="BN190" s="23" t="s">
        <v>643</v>
      </c>
      <c r="BT190" t="s">
        <v>68</v>
      </c>
    </row>
    <row r="191" spans="1:72" ht="12.9" customHeight="1">
      <c r="C191" s="21"/>
      <c r="D191" t="s">
        <v>470</v>
      </c>
      <c r="N191" s="1479">
        <v>1070042015</v>
      </c>
      <c r="O191" s="1479"/>
      <c r="P191" s="1479"/>
      <c r="Q191" s="1479"/>
      <c r="R191" s="1479"/>
      <c r="S191" s="1479"/>
      <c r="T191" s="1479"/>
      <c r="U191" s="1479"/>
      <c r="V191" s="1479"/>
      <c r="W191" s="1479"/>
      <c r="X191" s="1479"/>
      <c r="Y191" s="1479"/>
      <c r="Z191" s="1479"/>
      <c r="AA191" s="1479"/>
      <c r="AB191" s="1479"/>
      <c r="AC191" s="1479"/>
      <c r="AD191" s="1479"/>
      <c r="AE191" s="1479"/>
      <c r="BC191" t="s">
        <v>1064</v>
      </c>
      <c r="BH191" t="s">
        <v>1064</v>
      </c>
      <c r="BN191" s="23" t="s">
        <v>697</v>
      </c>
      <c r="BT191" t="s">
        <v>736</v>
      </c>
    </row>
    <row r="192" spans="1:72" ht="12.9" customHeight="1">
      <c r="C192" s="21"/>
      <c r="M192" s="40"/>
      <c r="N192" s="1480"/>
      <c r="O192" s="1480"/>
      <c r="P192" s="1480"/>
      <c r="Q192" s="1480"/>
      <c r="R192" s="1480"/>
      <c r="S192" s="1480"/>
      <c r="T192" s="1480"/>
      <c r="U192" s="1480"/>
      <c r="V192" s="1480"/>
      <c r="W192" s="1480"/>
      <c r="X192" s="1480"/>
      <c r="Y192" s="1480"/>
      <c r="Z192" s="1480"/>
      <c r="AA192" s="1480"/>
      <c r="AB192" s="1480"/>
      <c r="AC192" s="1480"/>
      <c r="AD192" s="1480"/>
      <c r="AE192" s="1480"/>
      <c r="BC192" t="s">
        <v>1067</v>
      </c>
      <c r="BH192" s="3" t="s">
        <v>1475</v>
      </c>
      <c r="BN192" s="23" t="s">
        <v>698</v>
      </c>
      <c r="BT192" t="s">
        <v>737</v>
      </c>
    </row>
    <row r="193" spans="1:74" ht="12.9" customHeight="1">
      <c r="C193" s="21"/>
      <c r="D193" t="s">
        <v>2395</v>
      </c>
      <c r="M193" s="40"/>
      <c r="N193" s="928"/>
      <c r="O193" s="928"/>
      <c r="P193" s="928"/>
      <c r="Q193" s="928"/>
      <c r="R193" s="928"/>
      <c r="S193" s="928"/>
      <c r="T193" s="1547" t="s">
        <v>2272</v>
      </c>
      <c r="U193" s="1547"/>
      <c r="V193" s="1547"/>
      <c r="W193" s="1547"/>
      <c r="X193" s="1547"/>
      <c r="Y193" s="1547"/>
      <c r="Z193" s="1547"/>
      <c r="AA193" s="1547"/>
      <c r="AB193" s="1547"/>
      <c r="AC193" s="1547"/>
      <c r="AD193" s="1547"/>
      <c r="AE193" s="1547"/>
      <c r="AF193" s="1547"/>
      <c r="AG193" s="1547"/>
      <c r="AH193" s="1547"/>
      <c r="AI193" s="1547"/>
      <c r="BC193" t="s">
        <v>1066</v>
      </c>
      <c r="BH193" s="3" t="s">
        <v>1742</v>
      </c>
      <c r="BN193" s="23" t="s">
        <v>699</v>
      </c>
      <c r="BT193" t="s">
        <v>738</v>
      </c>
    </row>
    <row r="194" spans="1:74" ht="12.9" customHeight="1">
      <c r="C194" s="21"/>
      <c r="D194" s="3" t="s">
        <v>2579</v>
      </c>
      <c r="M194" s="40"/>
      <c r="N194" s="928"/>
      <c r="O194" s="928"/>
      <c r="P194" s="928"/>
      <c r="Q194" s="928"/>
      <c r="R194" s="928"/>
      <c r="S194" s="928"/>
      <c r="AH194" s="1374" t="s">
        <v>677</v>
      </c>
      <c r="AI194" s="1374"/>
      <c r="BC194" t="s">
        <v>1475</v>
      </c>
      <c r="BN194" s="23" t="s">
        <v>700</v>
      </c>
      <c r="BT194" t="s">
        <v>739</v>
      </c>
    </row>
    <row r="195" spans="1:74" ht="12.9" customHeight="1">
      <c r="C195" s="21"/>
      <c r="D195" t="s">
        <v>332</v>
      </c>
      <c r="T195" s="1374" t="s">
        <v>677</v>
      </c>
      <c r="U195" s="1374"/>
      <c r="W195" t="s">
        <v>693</v>
      </c>
      <c r="AH195" s="1374">
        <v>26</v>
      </c>
      <c r="AI195" s="1374"/>
      <c r="BC195" t="s">
        <v>2045</v>
      </c>
      <c r="BN195" s="23" t="s">
        <v>243</v>
      </c>
      <c r="BT195" t="s">
        <v>740</v>
      </c>
    </row>
    <row r="196" spans="1:74" ht="12.9" customHeight="1">
      <c r="C196" s="21"/>
      <c r="D196" t="s">
        <v>387</v>
      </c>
      <c r="T196" s="1434" t="s">
        <v>553</v>
      </c>
      <c r="U196" s="1434"/>
      <c r="W196" t="s">
        <v>694</v>
      </c>
      <c r="AH196" s="1374">
        <v>38</v>
      </c>
      <c r="AI196" s="1374"/>
      <c r="BN196" s="23" t="s">
        <v>244</v>
      </c>
      <c r="BT196" t="s">
        <v>69</v>
      </c>
    </row>
    <row r="197" spans="1:74" ht="12.9" customHeight="1">
      <c r="C197" s="21"/>
      <c r="D197" s="3" t="s">
        <v>169</v>
      </c>
      <c r="T197" s="1434" t="s">
        <v>677</v>
      </c>
      <c r="U197" s="1434"/>
      <c r="W197" t="s">
        <v>695</v>
      </c>
      <c r="AH197" s="1374">
        <v>19</v>
      </c>
      <c r="AI197" s="1374"/>
      <c r="BC197" t="s">
        <v>308</v>
      </c>
      <c r="BN197" s="23" t="s">
        <v>245</v>
      </c>
      <c r="BT197" t="s">
        <v>70</v>
      </c>
    </row>
    <row r="198" spans="1:74" s="14" customFormat="1" ht="12.9" customHeight="1">
      <c r="A198"/>
      <c r="B198"/>
      <c r="C198" s="21"/>
      <c r="D198" s="3" t="s">
        <v>1765</v>
      </c>
      <c r="E198"/>
      <c r="F198"/>
      <c r="G198"/>
      <c r="H198"/>
      <c r="I198"/>
      <c r="J198"/>
      <c r="K198"/>
      <c r="L198"/>
      <c r="M198"/>
      <c r="N198"/>
      <c r="O198"/>
      <c r="P198"/>
      <c r="Q198"/>
      <c r="R198"/>
      <c r="S198"/>
      <c r="T198" s="1434"/>
      <c r="U198" s="143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 customHeight="1">
      <c r="A199"/>
      <c r="B199"/>
      <c r="C199" s="21"/>
      <c r="D199" s="118" t="s">
        <v>2529</v>
      </c>
      <c r="E199"/>
      <c r="F199"/>
      <c r="G199"/>
      <c r="H199"/>
      <c r="I199"/>
      <c r="J199"/>
      <c r="K199"/>
      <c r="L199"/>
      <c r="M199"/>
      <c r="N199"/>
      <c r="O199"/>
      <c r="P199"/>
      <c r="Q199"/>
      <c r="R199"/>
      <c r="S199"/>
      <c r="T199"/>
      <c r="U199"/>
      <c r="V199"/>
      <c r="W199"/>
      <c r="Z199" s="1374" t="s">
        <v>677</v>
      </c>
      <c r="AA199" s="1374"/>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 customHeight="1">
      <c r="C202" s="21"/>
      <c r="D202" s="546"/>
      <c r="BC202" t="s">
        <v>1091</v>
      </c>
      <c r="BD202" s="469"/>
      <c r="BN202" s="23" t="s">
        <v>710</v>
      </c>
      <c r="BO202" s="14"/>
      <c r="BP202" s="32"/>
      <c r="BQ202" s="32"/>
      <c r="BR202" s="32"/>
      <c r="BS202" s="32"/>
      <c r="BT202" s="32" t="s">
        <v>196</v>
      </c>
    </row>
    <row r="203" spans="1:74" ht="12.9" customHeight="1">
      <c r="A203" s="2" t="s">
        <v>594</v>
      </c>
      <c r="C203" s="2" t="s">
        <v>136</v>
      </c>
      <c r="BC203" t="s">
        <v>1092</v>
      </c>
      <c r="BN203" s="23" t="s">
        <v>711</v>
      </c>
      <c r="BO203" s="14"/>
      <c r="BP203" s="32"/>
      <c r="BQ203" s="32"/>
      <c r="BR203" s="32"/>
      <c r="BS203" s="32"/>
      <c r="BT203" s="32" t="s">
        <v>197</v>
      </c>
    </row>
    <row r="204" spans="1:74" ht="12.9" customHeight="1">
      <c r="D204" s="1375" t="s">
        <v>386</v>
      </c>
      <c r="E204" s="1375"/>
      <c r="F204" s="1375"/>
      <c r="G204" s="1375"/>
      <c r="H204" s="1375"/>
      <c r="I204" s="1375"/>
      <c r="J204" s="1375"/>
      <c r="K204" s="1375"/>
      <c r="L204" s="1375"/>
      <c r="M204" s="1375"/>
      <c r="P204" s="1541">
        <f>M26</f>
        <v>3666666.7</v>
      </c>
      <c r="Q204" s="1542"/>
      <c r="R204" s="1542"/>
      <c r="S204" s="1542"/>
      <c r="T204" s="1542"/>
      <c r="U204" s="1542"/>
      <c r="Z204" s="1557" t="s">
        <v>1290</v>
      </c>
      <c r="AA204" s="1557"/>
      <c r="AB204" s="1557"/>
      <c r="AC204" s="1557"/>
      <c r="AD204" s="1557"/>
      <c r="AE204" s="1557"/>
      <c r="AF204" s="1557"/>
      <c r="BC204" t="s">
        <v>618</v>
      </c>
      <c r="BN204" s="23" t="s">
        <v>712</v>
      </c>
      <c r="BT204" s="32" t="s">
        <v>198</v>
      </c>
      <c r="BU204" s="14"/>
    </row>
    <row r="205" spans="1:74" ht="12.9" customHeight="1">
      <c r="C205" s="21"/>
      <c r="D205" s="1556" t="s">
        <v>1355</v>
      </c>
      <c r="E205" s="1375"/>
      <c r="F205" s="1375"/>
      <c r="G205" s="1375"/>
      <c r="H205" s="1375"/>
      <c r="I205" s="1375"/>
      <c r="J205" s="1375"/>
      <c r="K205" s="1375"/>
      <c r="L205" s="1375"/>
      <c r="M205" s="1375"/>
      <c r="P205" s="1542">
        <f>M27</f>
        <v>0</v>
      </c>
      <c r="Q205" s="1542"/>
      <c r="R205" s="1542"/>
      <c r="S205" s="1542"/>
      <c r="T205" s="1542"/>
      <c r="U205" s="1542"/>
      <c r="V205" s="28"/>
      <c r="W205" s="3" t="s">
        <v>1907</v>
      </c>
      <c r="Z205" s="1557"/>
      <c r="AA205" s="1557"/>
      <c r="AB205" s="1557"/>
      <c r="AC205" s="1557"/>
      <c r="AD205" s="1557"/>
      <c r="AE205" s="1557"/>
      <c r="AF205" s="1557"/>
      <c r="AG205" t="s">
        <v>1356</v>
      </c>
      <c r="AP205" s="1374" t="s">
        <v>677</v>
      </c>
      <c r="AQ205" s="1374"/>
      <c r="BC205" t="s">
        <v>1050</v>
      </c>
      <c r="BN205" s="23" t="s">
        <v>109</v>
      </c>
      <c r="BT205" s="32" t="s">
        <v>174</v>
      </c>
      <c r="BU205" s="14"/>
    </row>
    <row r="206" spans="1:74" ht="12.9" customHeight="1">
      <c r="D206" s="29"/>
      <c r="E206" s="29"/>
      <c r="F206" s="29"/>
      <c r="G206" s="29"/>
      <c r="H206" s="29"/>
      <c r="I206" s="29"/>
      <c r="J206" s="29"/>
      <c r="K206" s="29"/>
      <c r="L206" s="29"/>
      <c r="M206" s="29"/>
      <c r="N206" s="29"/>
      <c r="O206" s="29"/>
      <c r="P206" s="29"/>
      <c r="Z206" s="1558"/>
      <c r="AA206" s="1558"/>
      <c r="AB206" s="1558"/>
      <c r="AC206" s="1558"/>
      <c r="AD206" s="1558"/>
      <c r="AE206" s="1558"/>
      <c r="AF206" s="1558"/>
      <c r="BC206" s="470" t="s">
        <v>1093</v>
      </c>
      <c r="BN206" s="23" t="s">
        <v>110</v>
      </c>
      <c r="BT206" s="32" t="s">
        <v>199</v>
      </c>
      <c r="BU206" s="14"/>
    </row>
    <row r="207" spans="1:74" ht="12.9" customHeight="1">
      <c r="A207" s="2" t="s">
        <v>597</v>
      </c>
      <c r="C207" s="2" t="s">
        <v>559</v>
      </c>
      <c r="BC207" s="3" t="s">
        <v>2569</v>
      </c>
      <c r="BN207" s="23" t="s">
        <v>45</v>
      </c>
      <c r="BT207" s="32" t="s">
        <v>200</v>
      </c>
    </row>
    <row r="208" spans="1:74" ht="12.9" customHeight="1">
      <c r="C208" s="21"/>
      <c r="D208" s="1520" t="s">
        <v>2640</v>
      </c>
      <c r="E208" s="1520"/>
      <c r="F208" s="1520"/>
      <c r="G208" s="1520"/>
      <c r="H208" s="1520"/>
      <c r="I208" s="1520"/>
      <c r="J208" s="1520"/>
      <c r="K208" s="1520"/>
      <c r="L208" s="1520"/>
      <c r="M208" s="1520"/>
      <c r="BC208" t="s">
        <v>1094</v>
      </c>
      <c r="BN208" s="23" t="s">
        <v>46</v>
      </c>
      <c r="BT208" s="32" t="s">
        <v>201</v>
      </c>
    </row>
    <row r="209" spans="1:72" ht="12.9" customHeight="1">
      <c r="BC209" t="s">
        <v>667</v>
      </c>
      <c r="BN209" s="23" t="s">
        <v>47</v>
      </c>
      <c r="BT209" s="32" t="s">
        <v>202</v>
      </c>
    </row>
    <row r="210" spans="1:72" ht="12.9" customHeight="1">
      <c r="A210" s="2" t="s">
        <v>598</v>
      </c>
      <c r="C210" s="2" t="s">
        <v>389</v>
      </c>
      <c r="BN210" s="23" t="s">
        <v>48</v>
      </c>
      <c r="BT210" s="32" t="s">
        <v>203</v>
      </c>
    </row>
    <row r="211" spans="1:72" ht="12.9" customHeight="1">
      <c r="C211" s="21"/>
      <c r="D211" s="1520" t="s">
        <v>1065</v>
      </c>
      <c r="E211" s="1520"/>
      <c r="F211" s="1520"/>
      <c r="G211" s="1520"/>
      <c r="H211" s="1520"/>
      <c r="I211" s="1520"/>
      <c r="J211" s="1520"/>
      <c r="K211" s="1520"/>
      <c r="L211" s="1520"/>
      <c r="M211" s="1520"/>
      <c r="BN211" s="23" t="s">
        <v>129</v>
      </c>
      <c r="BT211" s="32" t="s">
        <v>130</v>
      </c>
    </row>
    <row r="212" spans="1:72" ht="12.9" customHeight="1">
      <c r="C212" s="21"/>
      <c r="D212" t="s">
        <v>1352</v>
      </c>
      <c r="Y212" s="1374"/>
      <c r="Z212" s="1374"/>
      <c r="AB212" s="1545">
        <f>IFERROR(Y212/AG440,"")</f>
        <v>0</v>
      </c>
      <c r="AC212" s="1546"/>
      <c r="BC212" t="s">
        <v>308</v>
      </c>
      <c r="BI212" t="s">
        <v>1290</v>
      </c>
      <c r="BN212" s="23" t="s">
        <v>49</v>
      </c>
      <c r="BT212" s="32" t="s">
        <v>204</v>
      </c>
    </row>
    <row r="213" spans="1:72" ht="12.9" customHeight="1">
      <c r="D213" s="1189" t="s">
        <v>1741</v>
      </c>
      <c r="BC213" t="s">
        <v>534</v>
      </c>
      <c r="BI213" t="s">
        <v>2627</v>
      </c>
      <c r="BN213" s="23" t="s">
        <v>50</v>
      </c>
      <c r="BT213" s="32" t="s">
        <v>205</v>
      </c>
    </row>
    <row r="214" spans="1:72" ht="12.9" customHeight="1">
      <c r="D214" s="1534" t="s">
        <v>599</v>
      </c>
      <c r="E214" s="1534"/>
      <c r="F214" s="1534"/>
      <c r="G214" s="1534"/>
      <c r="H214" s="1534"/>
      <c r="I214" s="1534"/>
      <c r="J214" s="1534"/>
      <c r="K214" s="1534"/>
      <c r="L214" s="1534"/>
      <c r="M214" s="1534"/>
      <c r="N214" s="1534"/>
      <c r="O214" s="1534"/>
      <c r="P214" s="1534"/>
      <c r="Q214" s="1534"/>
      <c r="R214" s="1534"/>
      <c r="S214" s="1534"/>
      <c r="T214" s="1534"/>
      <c r="U214" s="1534"/>
      <c r="V214" s="1534"/>
      <c r="W214" s="1534"/>
      <c r="X214" s="1534"/>
      <c r="Y214" s="1534"/>
      <c r="Z214" s="1534"/>
      <c r="AU214" s="21"/>
      <c r="AV214" s="21"/>
      <c r="AW214" s="21"/>
      <c r="AX214" s="21"/>
      <c r="AY214" s="21"/>
      <c r="BC214" t="s">
        <v>538</v>
      </c>
      <c r="BI214" t="s">
        <v>2633</v>
      </c>
      <c r="BN214" s="23" t="s">
        <v>327</v>
      </c>
      <c r="BT214" s="32" t="s">
        <v>206</v>
      </c>
    </row>
    <row r="215" spans="1:72" ht="12.9" customHeight="1">
      <c r="D215" s="3" t="s">
        <v>1766</v>
      </c>
      <c r="Z215" s="40"/>
      <c r="AB215" s="1511"/>
      <c r="AC215" s="1511"/>
      <c r="AD215" s="1511"/>
      <c r="AE215" s="1511"/>
      <c r="AF215" s="1511"/>
      <c r="AG215" s="1511"/>
      <c r="AH215" s="1511"/>
      <c r="AI215" s="1511"/>
      <c r="AJ215" s="1511"/>
      <c r="AK215" s="1511"/>
      <c r="AL215" s="1511"/>
      <c r="AM215" s="21"/>
      <c r="AN215" s="21"/>
      <c r="AO215" s="21"/>
      <c r="AP215" s="21"/>
      <c r="AQ215" s="21"/>
      <c r="AR215" s="21"/>
      <c r="AS215" s="21"/>
      <c r="AT215" s="21"/>
      <c r="AU215" s="21"/>
      <c r="AV215" s="21"/>
      <c r="AW215" s="21"/>
      <c r="AX215" s="21"/>
      <c r="AY215" s="21"/>
      <c r="BC215" t="s">
        <v>535</v>
      </c>
      <c r="BI215" t="s">
        <v>2628</v>
      </c>
    </row>
    <row r="216" spans="1:72" ht="12.9" customHeight="1">
      <c r="D216" s="3" t="s">
        <v>1764</v>
      </c>
      <c r="Z216" s="40"/>
      <c r="AB216" s="1511"/>
      <c r="AC216" s="1511"/>
      <c r="AD216" s="1511"/>
      <c r="AE216" s="1511"/>
      <c r="AF216" s="1511"/>
      <c r="AG216" s="1511"/>
      <c r="AH216" s="1511"/>
      <c r="AI216" s="1511"/>
      <c r="AJ216" s="1511"/>
      <c r="AK216" s="1511"/>
      <c r="AL216" s="1511"/>
      <c r="AM216" s="21"/>
      <c r="AN216" s="21"/>
      <c r="AO216" s="21"/>
      <c r="AP216" s="21"/>
      <c r="AQ216" s="21"/>
      <c r="AR216" s="21"/>
      <c r="AS216" s="21"/>
      <c r="AT216" s="21"/>
      <c r="AU216" s="21"/>
      <c r="AV216" s="21"/>
      <c r="AW216" s="21"/>
      <c r="AX216" s="21"/>
      <c r="AY216" s="21"/>
      <c r="BC216" t="s">
        <v>574</v>
      </c>
      <c r="BI216" t="s">
        <v>2629</v>
      </c>
    </row>
    <row r="217" spans="1:72" ht="12.9"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 customHeight="1">
      <c r="A218" s="2" t="s">
        <v>600</v>
      </c>
      <c r="C218" s="2" t="s">
        <v>1328</v>
      </c>
      <c r="D218" s="28"/>
      <c r="BC218" t="s">
        <v>537</v>
      </c>
    </row>
    <row r="219" spans="1:72" ht="12.9" customHeight="1">
      <c r="A219" s="2"/>
      <c r="C219" s="2"/>
      <c r="D219" s="4" t="s">
        <v>1008</v>
      </c>
      <c r="AZ219" s="3"/>
      <c r="BA219" s="3"/>
      <c r="BC219" t="s">
        <v>378</v>
      </c>
    </row>
    <row r="220" spans="1:72" ht="12.9" customHeight="1">
      <c r="A220" s="2"/>
      <c r="C220" s="2"/>
      <c r="D220" s="1520" t="s">
        <v>2569</v>
      </c>
      <c r="E220" s="1520"/>
      <c r="F220" s="1520"/>
      <c r="G220" s="1520"/>
      <c r="H220" s="1520"/>
      <c r="I220" s="1520"/>
      <c r="J220" s="1520"/>
      <c r="K220" s="1520"/>
      <c r="L220" s="1520"/>
      <c r="M220" s="1520"/>
      <c r="N220" s="1520"/>
      <c r="O220" s="1520"/>
      <c r="P220" s="1520"/>
      <c r="Q220" s="1520"/>
      <c r="R220" s="1520"/>
      <c r="S220" s="1520"/>
      <c r="T220" s="1520"/>
      <c r="U220" s="1520"/>
      <c r="V220" s="1520"/>
      <c r="W220" s="1520"/>
      <c r="X220" s="1520"/>
      <c r="Y220" s="1520"/>
      <c r="Z220" s="1520"/>
      <c r="BA220" s="3"/>
      <c r="BC220" t="s">
        <v>301</v>
      </c>
    </row>
    <row r="221" spans="1:72" ht="12.9" customHeight="1">
      <c r="A221" s="2"/>
      <c r="B221" s="14"/>
      <c r="C221" s="2"/>
      <c r="AU221" s="95"/>
      <c r="AV221" s="95"/>
      <c r="AW221" s="95"/>
      <c r="AX221" s="95"/>
      <c r="AY221" s="95"/>
      <c r="BA221" s="3"/>
    </row>
    <row r="222" spans="1:72" ht="12.9" customHeight="1">
      <c r="A222" s="1661" t="s">
        <v>548</v>
      </c>
      <c r="B222" s="1661"/>
      <c r="C222" s="1661"/>
      <c r="D222" s="1661"/>
      <c r="E222" s="1661"/>
      <c r="F222" s="1661"/>
      <c r="G222" s="1661"/>
      <c r="H222" s="1661"/>
      <c r="I222" s="1661"/>
      <c r="J222" s="1661"/>
      <c r="K222" s="1661"/>
      <c r="L222" s="1661"/>
      <c r="M222" s="1661"/>
      <c r="N222" s="1661"/>
      <c r="O222" s="1661"/>
      <c r="P222" s="1661"/>
      <c r="Q222" s="1661"/>
      <c r="R222" s="1661"/>
      <c r="S222" s="1661"/>
      <c r="T222" s="1661"/>
      <c r="U222" s="1661"/>
      <c r="V222" s="1661"/>
      <c r="W222" s="1661"/>
      <c r="X222" s="1661"/>
      <c r="Y222" s="1661"/>
      <c r="Z222" s="1661"/>
      <c r="AA222" s="1661"/>
      <c r="AB222" s="1661"/>
      <c r="AC222" s="1661"/>
      <c r="AD222" s="1661"/>
      <c r="AE222" s="1661"/>
      <c r="AF222" s="1661"/>
      <c r="AG222" s="1661"/>
      <c r="AH222" s="1661"/>
      <c r="AI222" s="1661"/>
      <c r="AJ222" s="1661"/>
      <c r="AK222" s="1661"/>
      <c r="AL222" s="1661"/>
      <c r="AM222" s="1661"/>
      <c r="AN222" s="1661"/>
      <c r="AO222" s="1661"/>
      <c r="AP222" s="1661"/>
      <c r="AQ222" s="1661"/>
      <c r="AR222" s="1661"/>
      <c r="AS222" s="1661"/>
      <c r="AT222" s="1661"/>
      <c r="AU222" s="95"/>
      <c r="AV222" s="95"/>
      <c r="AW222" s="95"/>
      <c r="AX222" s="95"/>
      <c r="AY222" s="95"/>
      <c r="AZ222" s="3"/>
      <c r="BA222" s="3"/>
      <c r="BP222" s="34"/>
    </row>
    <row r="223" spans="1:72" ht="12.9" customHeight="1">
      <c r="A223" s="1661"/>
      <c r="B223" s="1661"/>
      <c r="C223" s="1661"/>
      <c r="D223" s="1661"/>
      <c r="E223" s="1661"/>
      <c r="F223" s="1661"/>
      <c r="G223" s="1661"/>
      <c r="H223" s="1661"/>
      <c r="I223" s="1661"/>
      <c r="J223" s="1661"/>
      <c r="K223" s="1661"/>
      <c r="L223" s="1661"/>
      <c r="M223" s="1661"/>
      <c r="N223" s="1661"/>
      <c r="O223" s="1661"/>
      <c r="P223" s="1661"/>
      <c r="Q223" s="1661"/>
      <c r="R223" s="1661"/>
      <c r="S223" s="1661"/>
      <c r="T223" s="1661"/>
      <c r="U223" s="1661"/>
      <c r="V223" s="1661"/>
      <c r="W223" s="1661"/>
      <c r="X223" s="1661"/>
      <c r="Y223" s="1661"/>
      <c r="Z223" s="1661"/>
      <c r="AA223" s="1661"/>
      <c r="AB223" s="1661"/>
      <c r="AC223" s="1661"/>
      <c r="AD223" s="1661"/>
      <c r="AE223" s="1661"/>
      <c r="AF223" s="1661"/>
      <c r="AG223" s="1661"/>
      <c r="AH223" s="1661"/>
      <c r="AI223" s="1661"/>
      <c r="AJ223" s="1661"/>
      <c r="AK223" s="1661"/>
      <c r="AL223" s="1661"/>
      <c r="AM223" s="1661"/>
      <c r="AN223" s="1661"/>
      <c r="AO223" s="1661"/>
      <c r="AP223" s="1661"/>
      <c r="AQ223" s="1661"/>
      <c r="AR223" s="1661"/>
      <c r="AS223" s="1661"/>
      <c r="AT223" s="1661"/>
      <c r="BA223" s="3"/>
      <c r="BB223" s="3"/>
      <c r="BQ223" s="34"/>
    </row>
    <row r="224" spans="1:72" ht="12.9" customHeight="1">
      <c r="AZ224" s="4"/>
      <c r="BA224" s="3"/>
      <c r="BB224" s="3"/>
      <c r="BQ224" s="34"/>
    </row>
    <row r="225" spans="1:69" ht="12.9" customHeight="1">
      <c r="A225" s="2" t="s">
        <v>320</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4" t="s">
        <v>599</v>
      </c>
      <c r="AJ226" s="1374"/>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4" t="s">
        <v>553</v>
      </c>
      <c r="AJ227" s="1374"/>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4" t="s">
        <v>553</v>
      </c>
      <c r="AJ228" s="1374"/>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4" t="s">
        <v>599</v>
      </c>
      <c r="AJ229" s="1374"/>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2</v>
      </c>
      <c r="BO230" s="34"/>
    </row>
    <row r="231" spans="1:69" ht="12.9" customHeight="1">
      <c r="A231" s="2" t="s">
        <v>584</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 customHeight="1">
      <c r="D232" s="4" t="s">
        <v>478</v>
      </c>
      <c r="E232" s="4"/>
      <c r="F232" s="4"/>
      <c r="G232" s="4"/>
      <c r="H232" s="4"/>
      <c r="I232" s="4"/>
      <c r="J232" s="4"/>
      <c r="K232" s="4"/>
      <c r="M232" s="1544" t="str">
        <f>H16</f>
        <v>FLT Telegraph Partners, L.P.</v>
      </c>
      <c r="N232" s="1544"/>
      <c r="O232" s="1544"/>
      <c r="P232" s="1544"/>
      <c r="Q232" s="1544"/>
      <c r="R232" s="1544"/>
      <c r="S232" s="1544"/>
      <c r="T232" s="1544"/>
      <c r="U232" s="1544"/>
      <c r="V232" s="1544"/>
      <c r="W232" s="1544"/>
      <c r="X232" s="1544"/>
      <c r="Y232" s="1544"/>
      <c r="Z232" s="1544"/>
      <c r="AA232" s="1544"/>
      <c r="AB232" s="1544"/>
      <c r="AC232" s="1544"/>
      <c r="AD232" s="1544"/>
      <c r="AE232" s="1544"/>
      <c r="AF232" s="1544"/>
      <c r="AG232" s="1544"/>
      <c r="AH232" s="1544"/>
      <c r="AI232" s="1544"/>
      <c r="AJ232" s="1544"/>
      <c r="AK232" s="1544"/>
      <c r="AZ232" s="4"/>
      <c r="BA232" s="3"/>
      <c r="BB232" s="219" t="s">
        <v>546</v>
      </c>
      <c r="BG232" s="259">
        <f>IF(AND(AND($M$249="nonprofit",$M$257="nonprofit",$M$265="for profit")),2,0)</f>
        <v>0</v>
      </c>
      <c r="BQ232" s="34"/>
    </row>
    <row r="233" spans="1:69" ht="12.9" customHeight="1">
      <c r="D233" s="4" t="s">
        <v>85</v>
      </c>
      <c r="E233" s="4"/>
      <c r="F233" s="4"/>
      <c r="G233" s="4"/>
      <c r="H233" s="4"/>
      <c r="I233" s="4"/>
      <c r="J233" s="4"/>
      <c r="K233" s="4"/>
      <c r="M233" s="1520" t="s">
        <v>2677</v>
      </c>
      <c r="N233" s="1520"/>
      <c r="O233" s="1520"/>
      <c r="P233" s="1520"/>
      <c r="Q233" s="1520"/>
      <c r="R233" s="1520"/>
      <c r="S233" s="1520"/>
      <c r="T233" s="1520"/>
      <c r="U233" s="1520"/>
      <c r="V233" s="1520"/>
      <c r="W233" s="1520"/>
      <c r="X233" s="1520"/>
      <c r="Y233" s="1520"/>
      <c r="Z233" s="1520"/>
      <c r="AA233" s="1520"/>
      <c r="AB233" s="1520"/>
      <c r="AC233" s="1520"/>
      <c r="AD233" s="1520"/>
      <c r="AE233" s="1520"/>
      <c r="BB233" s="219" t="s">
        <v>546</v>
      </c>
      <c r="BG233" s="259">
        <f>IF(AND(AND($M$249="nonprofit",$M$257="for profit",$M$265="nonprofit")),2,0)</f>
        <v>0</v>
      </c>
    </row>
    <row r="234" spans="1:69" ht="12.9" customHeight="1">
      <c r="D234" s="4" t="s">
        <v>588</v>
      </c>
      <c r="E234" s="4"/>
      <c r="M234" s="1520" t="s">
        <v>2665</v>
      </c>
      <c r="N234" s="1520"/>
      <c r="O234" s="1520"/>
      <c r="P234" s="1520"/>
      <c r="Q234" s="1520"/>
      <c r="R234" s="1520"/>
      <c r="S234" s="1520"/>
      <c r="T234" s="1520"/>
      <c r="V234" s="33" t="s">
        <v>86</v>
      </c>
      <c r="W234" s="1377" t="s">
        <v>2666</v>
      </c>
      <c r="X234" s="1377"/>
      <c r="Y234" s="4" t="s">
        <v>591</v>
      </c>
      <c r="AC234" s="1520">
        <v>92612</v>
      </c>
      <c r="AD234" s="1520"/>
      <c r="AE234" s="1520"/>
      <c r="AU234" s="4"/>
      <c r="AV234" s="4"/>
      <c r="AW234" s="4"/>
      <c r="AX234" s="4"/>
      <c r="AY234" s="4"/>
      <c r="AZ234" s="4"/>
      <c r="BB234" s="219" t="s">
        <v>546</v>
      </c>
      <c r="BG234" s="258">
        <f>IF(AND(AND($M$249="for profit",$M$257="nonprofit",$M$265="nonprofit")),2,0)</f>
        <v>0</v>
      </c>
      <c r="BO234" s="34"/>
    </row>
    <row r="235" spans="1:69" ht="12.9" customHeight="1">
      <c r="D235" s="4" t="s">
        <v>87</v>
      </c>
      <c r="E235" s="4"/>
      <c r="F235" s="4"/>
      <c r="G235" s="4"/>
      <c r="H235" s="4"/>
      <c r="I235" s="4"/>
      <c r="J235" s="4"/>
      <c r="K235" s="19"/>
      <c r="M235" s="1520" t="s">
        <v>2667</v>
      </c>
      <c r="N235" s="1520"/>
      <c r="O235" s="1520"/>
      <c r="P235" s="1520"/>
      <c r="Q235" s="1520"/>
      <c r="R235" s="1520"/>
      <c r="S235" s="1520"/>
      <c r="T235" s="1520"/>
      <c r="U235" s="1520"/>
      <c r="V235" s="1520"/>
      <c r="W235" s="1520"/>
      <c r="X235" s="1520"/>
      <c r="Y235" s="1520"/>
      <c r="Z235" s="1520"/>
      <c r="AA235" s="1520"/>
      <c r="AB235" s="1520"/>
      <c r="AC235" s="1520"/>
      <c r="AD235" s="1520"/>
      <c r="AE235" s="1520"/>
      <c r="AI235" s="4"/>
      <c r="AJ235" s="4"/>
      <c r="AK235" s="4"/>
      <c r="AL235" s="4"/>
      <c r="AM235" s="4"/>
      <c r="AN235" s="4"/>
      <c r="AO235" s="4"/>
      <c r="AP235" s="4"/>
      <c r="AQ235" s="4"/>
      <c r="AR235" s="4"/>
      <c r="AS235" s="4"/>
      <c r="AT235" s="4"/>
      <c r="BB235" s="219"/>
      <c r="BG235" s="218"/>
    </row>
    <row r="236" spans="1:69" ht="12.9" customHeight="1">
      <c r="D236" s="4" t="s">
        <v>88</v>
      </c>
      <c r="E236" s="4"/>
      <c r="F236" s="4"/>
      <c r="M236" s="1396" t="s">
        <v>2668</v>
      </c>
      <c r="N236" s="1396"/>
      <c r="O236" s="1396"/>
      <c r="P236" s="1396"/>
      <c r="Q236" s="1396"/>
      <c r="R236" s="1396"/>
      <c r="S236" s="4" t="s">
        <v>207</v>
      </c>
      <c r="T236" s="4"/>
      <c r="U236" s="1377"/>
      <c r="V236" s="1377"/>
      <c r="W236" s="1377"/>
      <c r="X236" s="4" t="s">
        <v>89</v>
      </c>
      <c r="Z236" s="1396"/>
      <c r="AA236" s="1396"/>
      <c r="AB236" s="1396"/>
      <c r="AC236" s="1396"/>
      <c r="AD236" s="1396"/>
      <c r="AE236" s="1396"/>
      <c r="AU236" s="4"/>
      <c r="AV236" s="4"/>
      <c r="AW236" s="4"/>
      <c r="AX236" s="4"/>
      <c r="AY236" s="4"/>
      <c r="AZ236" s="4"/>
      <c r="BB236" s="218" t="s">
        <v>545</v>
      </c>
      <c r="BG236" s="259">
        <f>IF(AND(AND($M$249="nonprofit",$M$257="nonprofit",$M$265="(select one)")),1,0)</f>
        <v>0</v>
      </c>
    </row>
    <row r="237" spans="1:69" ht="12.9" customHeight="1">
      <c r="D237" s="4" t="s">
        <v>90</v>
      </c>
      <c r="E237" s="4"/>
      <c r="F237" s="4"/>
      <c r="M237" s="1523" t="s">
        <v>2669</v>
      </c>
      <c r="N237" s="1523"/>
      <c r="O237" s="1523"/>
      <c r="P237" s="1523"/>
      <c r="Q237" s="1523"/>
      <c r="R237" s="1523"/>
      <c r="S237" s="1523"/>
      <c r="T237" s="1523"/>
      <c r="U237" s="1523"/>
      <c r="V237" s="1523"/>
      <c r="W237" s="1523"/>
      <c r="X237" s="1523"/>
      <c r="Y237" s="1523"/>
      <c r="Z237" s="1523"/>
      <c r="AA237" s="1523"/>
      <c r="AB237" s="1523"/>
      <c r="AC237" s="1523"/>
      <c r="AD237" s="1523"/>
      <c r="AE237" s="1523"/>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 customHeight="1">
      <c r="A238" s="2" t="s">
        <v>594</v>
      </c>
      <c r="C238" s="2" t="s">
        <v>533</v>
      </c>
      <c r="M238" s="1376" t="s">
        <v>536</v>
      </c>
      <c r="N238" s="1376"/>
      <c r="O238" s="1376"/>
      <c r="P238" s="1376"/>
      <c r="Q238" s="1376"/>
      <c r="R238" s="1376"/>
      <c r="S238" s="1376"/>
      <c r="T238" s="1376"/>
      <c r="U238" s="218" t="s">
        <v>921</v>
      </c>
      <c r="V238" s="218"/>
      <c r="W238" s="218"/>
      <c r="X238" s="218"/>
      <c r="Y238" s="218"/>
      <c r="Z238" s="218"/>
      <c r="AA238" s="1527"/>
      <c r="AB238" s="1527"/>
      <c r="AC238" s="1527"/>
      <c r="AD238" s="1527"/>
      <c r="AE238" s="1527"/>
      <c r="AF238" s="1527"/>
      <c r="AG238" s="1527"/>
      <c r="AH238" s="1527"/>
      <c r="AI238" s="1527"/>
      <c r="AJ238" s="1527"/>
      <c r="AK238" s="1527"/>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 customHeight="1">
      <c r="D239" t="s">
        <v>539</v>
      </c>
      <c r="M239" s="1364"/>
      <c r="N239" s="1364"/>
      <c r="O239" s="1364"/>
      <c r="P239" s="1364"/>
      <c r="Q239" s="1364"/>
      <c r="R239" s="1364"/>
      <c r="S239" s="1364"/>
      <c r="T239" s="1364"/>
      <c r="U239" s="1364"/>
      <c r="V239" s="1364"/>
      <c r="W239" s="1364"/>
      <c r="X239" s="1364"/>
      <c r="Y239" s="1364"/>
      <c r="Z239" s="1364"/>
      <c r="AA239" s="1364"/>
      <c r="AB239" s="1364"/>
      <c r="AC239" s="1364"/>
      <c r="AD239" s="1364"/>
      <c r="AE239" s="1364"/>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 customHeight="1">
      <c r="D240" s="4"/>
      <c r="BB240" s="218" t="s">
        <v>889</v>
      </c>
      <c r="BG240" s="259">
        <f>IF(AND(AND($M$249="for profit",$M$257="for profit",$M$265="for profit")),3,0)</f>
        <v>0</v>
      </c>
    </row>
    <row r="241" spans="1:71" ht="12.9"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 customHeight="1">
      <c r="A243" s="19"/>
      <c r="B243" s="4"/>
      <c r="C243" s="56" t="s">
        <v>481</v>
      </c>
      <c r="D243" s="4" t="s">
        <v>540</v>
      </c>
      <c r="E243" s="4"/>
      <c r="F243" s="4"/>
      <c r="G243" s="4"/>
      <c r="H243" s="4"/>
      <c r="I243" s="4"/>
      <c r="J243" s="4"/>
      <c r="K243" s="4"/>
      <c r="L243" s="4"/>
      <c r="M243" s="1526" t="s">
        <v>2722</v>
      </c>
      <c r="N243" s="1525"/>
      <c r="O243" s="1525"/>
      <c r="P243" s="1525"/>
      <c r="Q243" s="1525"/>
      <c r="R243" s="1525"/>
      <c r="S243" s="1525"/>
      <c r="T243" s="1525"/>
      <c r="U243" s="1525"/>
      <c r="V243" s="1525"/>
      <c r="W243" s="1525"/>
      <c r="X243" s="1525"/>
      <c r="Y243" s="1525"/>
      <c r="Z243" s="1525"/>
      <c r="AA243" s="1525"/>
      <c r="AB243" s="1525"/>
      <c r="AC243" s="1525"/>
      <c r="AD243" s="1525"/>
      <c r="AE243" s="1525"/>
      <c r="AF243" s="1525" t="s">
        <v>2659</v>
      </c>
      <c r="AG243" s="1525"/>
      <c r="AH243" s="1525"/>
      <c r="AI243" s="1525"/>
      <c r="AJ243" s="1525"/>
      <c r="AK243" s="1525"/>
      <c r="AU243" s="4"/>
      <c r="AV243" s="4"/>
      <c r="AW243" s="4"/>
      <c r="AX243" s="4"/>
      <c r="AY243" s="4"/>
      <c r="BG243">
        <f>SUM(BG226:BG241)</f>
        <v>2</v>
      </c>
    </row>
    <row r="244" spans="1:71" ht="12.9" customHeight="1">
      <c r="A244" s="19"/>
      <c r="B244" s="4"/>
      <c r="C244" s="4"/>
      <c r="D244" s="4" t="s">
        <v>85</v>
      </c>
      <c r="E244" s="4"/>
      <c r="F244" s="4"/>
      <c r="G244" s="4"/>
      <c r="H244" s="4"/>
      <c r="I244" s="4"/>
      <c r="J244" s="4"/>
      <c r="K244" s="4"/>
      <c r="L244" s="4"/>
      <c r="M244" s="1520" t="s">
        <v>2671</v>
      </c>
      <c r="N244" s="1520"/>
      <c r="O244" s="1520"/>
      <c r="P244" s="1520"/>
      <c r="Q244" s="1520"/>
      <c r="R244" s="1520"/>
      <c r="S244" s="1520"/>
      <c r="T244" s="1520"/>
      <c r="U244" s="1520"/>
      <c r="V244" s="1520"/>
      <c r="W244" s="1520"/>
      <c r="X244" s="1520"/>
      <c r="Y244" s="1520"/>
      <c r="Z244" s="1520"/>
      <c r="AA244" s="1520"/>
      <c r="AB244" s="1520"/>
      <c r="AC244" s="1520"/>
      <c r="AD244" s="1520"/>
      <c r="AE244" s="1520"/>
      <c r="AF244" s="3" t="s">
        <v>1285</v>
      </c>
      <c r="AL244" s="4"/>
      <c r="AM244" s="4"/>
      <c r="AN244" s="4"/>
      <c r="AO244" s="4"/>
      <c r="AP244" s="4"/>
      <c r="AQ244" s="4"/>
      <c r="AR244" s="4"/>
      <c r="AS244" s="4"/>
      <c r="AT244" s="4"/>
      <c r="BB244" t="s">
        <v>308</v>
      </c>
      <c r="BG244">
        <v>1</v>
      </c>
      <c r="BH244" t="s">
        <v>542</v>
      </c>
    </row>
    <row r="245" spans="1:71" ht="12.9" customHeight="1">
      <c r="A245" s="19"/>
      <c r="B245" s="4"/>
      <c r="C245" s="4"/>
      <c r="D245" s="4" t="s">
        <v>588</v>
      </c>
      <c r="E245" s="4"/>
      <c r="M245" s="1520" t="s">
        <v>2670</v>
      </c>
      <c r="N245" s="1520"/>
      <c r="O245" s="1520"/>
      <c r="P245" s="1520"/>
      <c r="Q245" s="1520"/>
      <c r="R245" s="1520"/>
      <c r="S245" s="1520"/>
      <c r="T245" s="1520"/>
      <c r="V245" s="33" t="s">
        <v>86</v>
      </c>
      <c r="W245" s="1377" t="s">
        <v>2666</v>
      </c>
      <c r="X245" s="1377"/>
      <c r="Y245" s="4" t="s">
        <v>591</v>
      </c>
      <c r="AC245" s="1520">
        <v>92660</v>
      </c>
      <c r="AD245" s="1520"/>
      <c r="AE245" s="1520"/>
      <c r="AF245" s="3" t="s">
        <v>1286</v>
      </c>
      <c r="AU245" s="4"/>
      <c r="AV245" s="4"/>
      <c r="AW245" s="4"/>
      <c r="AX245" s="4"/>
      <c r="AY245" s="4"/>
      <c r="BB245" s="4" t="s">
        <v>281</v>
      </c>
      <c r="BG245">
        <v>2</v>
      </c>
      <c r="BH245" t="s">
        <v>574</v>
      </c>
      <c r="BO245" s="257" t="str">
        <f>VLOOKUP(BG243,BG244:BH247,2,FALSE)</f>
        <v>Joint Venture</v>
      </c>
    </row>
    <row r="246" spans="1:71" ht="12.9" customHeight="1">
      <c r="A246" s="19"/>
      <c r="B246" s="4"/>
      <c r="C246" s="4"/>
      <c r="D246" s="4" t="s">
        <v>87</v>
      </c>
      <c r="E246" s="4"/>
      <c r="F246" s="4"/>
      <c r="G246" s="4"/>
      <c r="H246" s="4"/>
      <c r="I246" s="4"/>
      <c r="J246" s="4"/>
      <c r="K246" s="4"/>
      <c r="L246" s="19"/>
      <c r="M246" s="1520" t="s">
        <v>2672</v>
      </c>
      <c r="N246" s="1520"/>
      <c r="O246" s="1520"/>
      <c r="P246" s="1520"/>
      <c r="Q246" s="1520"/>
      <c r="R246" s="1520"/>
      <c r="S246" s="1520"/>
      <c r="T246" s="1520"/>
      <c r="U246" s="1520"/>
      <c r="V246" s="1520"/>
      <c r="W246" s="1520"/>
      <c r="X246" s="1520"/>
      <c r="Y246" s="1520"/>
      <c r="Z246" s="1520"/>
      <c r="AA246" s="1520"/>
      <c r="AB246" s="1520"/>
      <c r="AC246" s="1520"/>
      <c r="AD246" s="1520"/>
      <c r="AE246" s="1520"/>
      <c r="AH246" s="1548">
        <v>1.0000000000000001E-5</v>
      </c>
      <c r="AI246" s="1549"/>
      <c r="AJ246" s="1549"/>
      <c r="AK246" s="1549"/>
      <c r="AL246" s="4"/>
      <c r="AM246" s="4"/>
      <c r="AN246" s="4"/>
      <c r="AO246" s="4"/>
      <c r="AP246" s="4"/>
      <c r="AQ246" s="4"/>
      <c r="AR246" s="4"/>
      <c r="AS246" s="4"/>
      <c r="AT246" s="4"/>
      <c r="BB246" s="4" t="s">
        <v>173</v>
      </c>
      <c r="BG246">
        <v>3</v>
      </c>
      <c r="BH246" t="s">
        <v>544</v>
      </c>
      <c r="BN246" s="34"/>
    </row>
    <row r="247" spans="1:71" ht="12.9" customHeight="1">
      <c r="A247" s="19"/>
      <c r="B247" s="4"/>
      <c r="C247" s="4"/>
      <c r="D247" s="4" t="s">
        <v>88</v>
      </c>
      <c r="E247" s="4"/>
      <c r="F247" s="4"/>
      <c r="M247" s="1396" t="s">
        <v>2673</v>
      </c>
      <c r="N247" s="1396"/>
      <c r="O247" s="1396"/>
      <c r="P247" s="1396"/>
      <c r="Q247" s="1396"/>
      <c r="R247" s="1396"/>
      <c r="S247" s="4" t="s">
        <v>207</v>
      </c>
      <c r="T247" s="4"/>
      <c r="U247" s="1377">
        <v>245</v>
      </c>
      <c r="V247" s="1377"/>
      <c r="W247" s="1377"/>
      <c r="X247" s="4" t="s">
        <v>89</v>
      </c>
      <c r="Z247" s="1396"/>
      <c r="AA247" s="1396"/>
      <c r="AB247" s="1396"/>
      <c r="AC247" s="1396"/>
      <c r="AD247" s="1396"/>
      <c r="AE247" s="1396"/>
      <c r="AU247" s="4"/>
      <c r="AV247" s="4"/>
      <c r="AW247" s="4"/>
      <c r="AX247" s="4"/>
      <c r="AY247" s="4"/>
      <c r="BG247">
        <v>0</v>
      </c>
      <c r="BH247" s="3"/>
      <c r="BN247" s="34"/>
    </row>
    <row r="248" spans="1:71" ht="12.9" customHeight="1">
      <c r="A248" s="19"/>
      <c r="B248" s="4"/>
      <c r="C248" s="4"/>
      <c r="D248" s="4" t="s">
        <v>90</v>
      </c>
      <c r="E248" s="4"/>
      <c r="F248" s="4"/>
      <c r="M248" s="1523" t="s">
        <v>2674</v>
      </c>
      <c r="N248" s="1523"/>
      <c r="O248" s="1523"/>
      <c r="P248" s="1523"/>
      <c r="Q248" s="1523"/>
      <c r="R248" s="1523"/>
      <c r="S248" s="1523"/>
      <c r="T248" s="1523"/>
      <c r="U248" s="1523"/>
      <c r="V248" s="1523"/>
      <c r="W248" s="1523"/>
      <c r="X248" s="1523"/>
      <c r="Y248" s="1523"/>
      <c r="Z248" s="1523"/>
      <c r="AA248" s="1523"/>
      <c r="AB248" s="1523"/>
      <c r="AC248" s="1523"/>
      <c r="AD248" s="1523"/>
      <c r="AE248" s="1523"/>
      <c r="AG248" s="4"/>
      <c r="AH248" s="4"/>
      <c r="AI248" s="4"/>
      <c r="AJ248" s="4"/>
      <c r="AK248" s="4"/>
      <c r="AL248" s="4"/>
      <c r="AM248" s="4"/>
      <c r="AN248" s="4"/>
      <c r="AO248" s="4"/>
      <c r="AP248" s="4"/>
      <c r="AQ248" s="4"/>
      <c r="AR248" s="4"/>
      <c r="AS248" s="4"/>
      <c r="AT248" s="4"/>
      <c r="BN248" s="34"/>
    </row>
    <row r="249" spans="1:71" ht="12.9" customHeight="1">
      <c r="A249" s="13"/>
      <c r="B249" s="4"/>
      <c r="C249" s="56"/>
      <c r="D249" s="4" t="s">
        <v>543</v>
      </c>
      <c r="E249" s="4"/>
      <c r="F249" s="4"/>
      <c r="G249" s="4"/>
      <c r="H249" s="4"/>
      <c r="I249" s="4"/>
      <c r="J249" s="4"/>
      <c r="K249" s="4"/>
      <c r="L249" s="4"/>
      <c r="M249" s="1376" t="s">
        <v>542</v>
      </c>
      <c r="N249" s="1376"/>
      <c r="O249" s="1376"/>
      <c r="P249" s="1376"/>
      <c r="Q249" s="1376"/>
      <c r="R249" s="1376"/>
      <c r="S249" s="1376"/>
      <c r="T249" s="1376"/>
      <c r="U249" s="218" t="s">
        <v>921</v>
      </c>
      <c r="V249" s="218"/>
      <c r="W249" s="218"/>
      <c r="X249" s="218"/>
      <c r="Y249" s="218"/>
      <c r="Z249" s="218"/>
      <c r="AA249" s="1527" t="s">
        <v>2675</v>
      </c>
      <c r="AB249" s="1527"/>
      <c r="AC249" s="1527"/>
      <c r="AD249" s="1527"/>
      <c r="AE249" s="1527"/>
      <c r="AF249" s="1527"/>
      <c r="AG249" s="1527"/>
      <c r="AH249" s="1527"/>
      <c r="AI249" s="1527"/>
      <c r="AJ249" s="1527"/>
      <c r="AK249" s="1527"/>
      <c r="BN249" s="34"/>
    </row>
    <row r="250" spans="1:71" ht="12.9" customHeight="1">
      <c r="A250" s="19"/>
      <c r="B250" s="4"/>
      <c r="C250" s="4"/>
      <c r="D250" s="4"/>
      <c r="E250" s="4"/>
      <c r="F250" s="4"/>
      <c r="G250" s="4"/>
      <c r="H250" s="4"/>
      <c r="I250" s="4"/>
      <c r="J250" s="4"/>
      <c r="K250" s="4"/>
      <c r="L250" s="4"/>
      <c r="AG250" s="4"/>
      <c r="AH250" s="4"/>
      <c r="AI250" s="4"/>
      <c r="AJ250" s="4"/>
      <c r="BN250" s="34"/>
    </row>
    <row r="251" spans="1:71" ht="12.9" customHeight="1">
      <c r="A251" s="2"/>
      <c r="B251" s="4"/>
      <c r="C251" s="56" t="s">
        <v>98</v>
      </c>
      <c r="D251" s="4" t="s">
        <v>974</v>
      </c>
      <c r="E251" s="4"/>
      <c r="F251" s="4"/>
      <c r="G251" s="4"/>
      <c r="H251" s="4"/>
      <c r="I251" s="4"/>
      <c r="J251" s="4"/>
      <c r="K251" s="4"/>
      <c r="L251" s="4"/>
      <c r="M251" s="1526" t="s">
        <v>2775</v>
      </c>
      <c r="N251" s="1525"/>
      <c r="O251" s="1525"/>
      <c r="P251" s="1525"/>
      <c r="Q251" s="1525"/>
      <c r="R251" s="1525"/>
      <c r="S251" s="1525"/>
      <c r="T251" s="1525"/>
      <c r="U251" s="1525"/>
      <c r="V251" s="1525"/>
      <c r="W251" s="1525"/>
      <c r="X251" s="1525"/>
      <c r="Y251" s="1525"/>
      <c r="Z251" s="1525"/>
      <c r="AA251" s="1525"/>
      <c r="AB251" s="1525"/>
      <c r="AC251" s="1525"/>
      <c r="AD251" s="1525"/>
      <c r="AE251" s="1525"/>
      <c r="AF251" s="1525" t="s">
        <v>2676</v>
      </c>
      <c r="AG251" s="1525"/>
      <c r="AH251" s="1525"/>
      <c r="AI251" s="1525"/>
      <c r="AJ251" s="1525"/>
      <c r="AK251" s="1525"/>
      <c r="AU251" s="4"/>
      <c r="AV251" s="4"/>
      <c r="AW251" s="4"/>
      <c r="AX251" s="4"/>
      <c r="AY251" s="4"/>
      <c r="BN251" s="34"/>
    </row>
    <row r="252" spans="1:71" ht="12.9" customHeight="1">
      <c r="A252" s="19"/>
      <c r="B252" s="4"/>
      <c r="C252" s="4"/>
      <c r="D252" s="4" t="s">
        <v>85</v>
      </c>
      <c r="E252" s="4"/>
      <c r="F252" s="4"/>
      <c r="G252" s="4"/>
      <c r="H252" s="4"/>
      <c r="I252" s="4"/>
      <c r="J252" s="4"/>
      <c r="K252" s="4"/>
      <c r="L252" s="4"/>
      <c r="M252" s="1520" t="s">
        <v>2677</v>
      </c>
      <c r="N252" s="1520"/>
      <c r="O252" s="1520"/>
      <c r="P252" s="1520"/>
      <c r="Q252" s="1520"/>
      <c r="R252" s="1520"/>
      <c r="S252" s="1520"/>
      <c r="T252" s="1520"/>
      <c r="U252" s="1520"/>
      <c r="V252" s="1520"/>
      <c r="W252" s="1520"/>
      <c r="X252" s="1520"/>
      <c r="Y252" s="1520"/>
      <c r="Z252" s="1520"/>
      <c r="AA252" s="1520"/>
      <c r="AB252" s="1520"/>
      <c r="AC252" s="1520"/>
      <c r="AD252" s="1520"/>
      <c r="AE252" s="1520"/>
      <c r="AF252" s="3" t="s">
        <v>1285</v>
      </c>
      <c r="AL252" s="4"/>
      <c r="AM252" s="4"/>
      <c r="AN252" s="4"/>
      <c r="AO252" s="4"/>
      <c r="AP252" s="4"/>
      <c r="AQ252" s="4"/>
      <c r="AR252" s="4"/>
      <c r="AS252" s="4"/>
      <c r="AT252" s="4"/>
      <c r="BN252" s="34"/>
    </row>
    <row r="253" spans="1:71" ht="12.9" customHeight="1">
      <c r="A253" s="19"/>
      <c r="B253" s="4"/>
      <c r="C253" s="4"/>
      <c r="D253" s="4" t="s">
        <v>588</v>
      </c>
      <c r="E253" s="4"/>
      <c r="M253" s="1520" t="s">
        <v>2665</v>
      </c>
      <c r="N253" s="1520"/>
      <c r="O253" s="1520"/>
      <c r="P253" s="1520"/>
      <c r="Q253" s="1520"/>
      <c r="R253" s="1520"/>
      <c r="S253" s="1520"/>
      <c r="T253" s="1520"/>
      <c r="V253" s="33" t="s">
        <v>86</v>
      </c>
      <c r="W253" s="1377" t="s">
        <v>2666</v>
      </c>
      <c r="X253" s="1377"/>
      <c r="Y253" s="4" t="s">
        <v>591</v>
      </c>
      <c r="AC253" s="1520">
        <v>92612</v>
      </c>
      <c r="AD253" s="1520"/>
      <c r="AE253" s="1520"/>
      <c r="AF253" s="3" t="s">
        <v>1286</v>
      </c>
      <c r="AU253" s="4"/>
      <c r="AV253" s="4"/>
      <c r="AW253" s="4"/>
      <c r="AX253" s="4"/>
      <c r="AY253" s="4"/>
      <c r="BN253" s="34"/>
    </row>
    <row r="254" spans="1:71" ht="12.9" customHeight="1">
      <c r="A254" s="19"/>
      <c r="B254" s="4"/>
      <c r="C254" s="4"/>
      <c r="D254" s="4" t="s">
        <v>87</v>
      </c>
      <c r="E254" s="4"/>
      <c r="F254" s="4"/>
      <c r="G254" s="4"/>
      <c r="H254" s="4"/>
      <c r="I254" s="4"/>
      <c r="J254" s="4"/>
      <c r="K254" s="4"/>
      <c r="L254" s="19"/>
      <c r="M254" s="1520" t="s">
        <v>2667</v>
      </c>
      <c r="N254" s="1520"/>
      <c r="O254" s="1520"/>
      <c r="P254" s="1520"/>
      <c r="Q254" s="1520"/>
      <c r="R254" s="1520"/>
      <c r="S254" s="1520"/>
      <c r="T254" s="1520"/>
      <c r="U254" s="1520"/>
      <c r="V254" s="1520"/>
      <c r="W254" s="1520"/>
      <c r="X254" s="1520"/>
      <c r="Y254" s="1520"/>
      <c r="Z254" s="1520"/>
      <c r="AA254" s="1520"/>
      <c r="AB254" s="1520"/>
      <c r="AC254" s="1520"/>
      <c r="AD254" s="1520"/>
      <c r="AE254" s="1520"/>
      <c r="AH254" s="1548">
        <v>9.0000000000000006E-5</v>
      </c>
      <c r="AI254" s="1549"/>
      <c r="AJ254" s="1549"/>
      <c r="AK254" s="1549"/>
      <c r="AL254" s="4"/>
      <c r="AM254" s="4"/>
      <c r="AN254" s="4"/>
      <c r="AO254" s="4"/>
      <c r="AP254" s="4"/>
      <c r="AQ254" s="4"/>
      <c r="AR254" s="4"/>
      <c r="AS254" s="4"/>
      <c r="AT254" s="4"/>
    </row>
    <row r="255" spans="1:71" ht="12.9" customHeight="1">
      <c r="A255" s="19"/>
      <c r="B255" s="4"/>
      <c r="C255" s="4"/>
      <c r="D255" s="4" t="s">
        <v>88</v>
      </c>
      <c r="E255" s="4"/>
      <c r="F255" s="4"/>
      <c r="M255" s="1396" t="s">
        <v>2678</v>
      </c>
      <c r="N255" s="1396"/>
      <c r="O255" s="1396"/>
      <c r="P255" s="1396"/>
      <c r="Q255" s="1396"/>
      <c r="R255" s="1396"/>
      <c r="S255" s="4" t="s">
        <v>207</v>
      </c>
      <c r="T255" s="4"/>
      <c r="U255" s="1377"/>
      <c r="V255" s="1377"/>
      <c r="W255" s="1377"/>
      <c r="X255" s="4" t="s">
        <v>89</v>
      </c>
      <c r="Z255" s="1396"/>
      <c r="AA255" s="1396"/>
      <c r="AB255" s="1396"/>
      <c r="AC255" s="1396"/>
      <c r="AD255" s="1396"/>
      <c r="AE255" s="1396"/>
      <c r="AU255" s="4"/>
      <c r="AV255" s="4"/>
      <c r="AW255" s="4"/>
      <c r="AX255" s="4"/>
      <c r="AY255" s="4"/>
      <c r="BN255" s="34"/>
    </row>
    <row r="256" spans="1:71" ht="12.9" customHeight="1">
      <c r="A256" s="19"/>
      <c r="B256" s="4"/>
      <c r="C256" s="4"/>
      <c r="D256" s="4" t="s">
        <v>90</v>
      </c>
      <c r="E256" s="4"/>
      <c r="F256" s="4"/>
      <c r="M256" s="1523" t="s">
        <v>2669</v>
      </c>
      <c r="N256" s="1523"/>
      <c r="O256" s="1523"/>
      <c r="P256" s="1523"/>
      <c r="Q256" s="1523"/>
      <c r="R256" s="1523"/>
      <c r="S256" s="1523"/>
      <c r="T256" s="1523"/>
      <c r="U256" s="1523"/>
      <c r="V256" s="1523"/>
      <c r="W256" s="1523"/>
      <c r="X256" s="1523"/>
      <c r="Y256" s="1523"/>
      <c r="Z256" s="1523"/>
      <c r="AA256" s="1523"/>
      <c r="AB256" s="1523"/>
      <c r="AC256" s="1523"/>
      <c r="AD256" s="1523"/>
      <c r="AE256" s="1523"/>
      <c r="AG256" s="4"/>
      <c r="AH256" s="4"/>
      <c r="AI256" s="4"/>
      <c r="AJ256" s="4"/>
      <c r="AK256" s="4"/>
      <c r="AL256" s="4"/>
      <c r="AM256" s="4"/>
      <c r="AN256" s="4"/>
      <c r="AO256" s="4"/>
      <c r="AP256" s="4"/>
      <c r="AQ256" s="4"/>
      <c r="AR256" s="4"/>
      <c r="AS256" s="4"/>
      <c r="AT256" s="4"/>
      <c r="AU256" s="3"/>
      <c r="AV256" s="3"/>
      <c r="AW256" s="3"/>
      <c r="AX256" s="3"/>
      <c r="AY256" s="3"/>
      <c r="BN256" s="34"/>
    </row>
    <row r="257" spans="1:66" ht="12.9" customHeight="1">
      <c r="A257" s="13"/>
      <c r="B257" s="4"/>
      <c r="C257" s="56"/>
      <c r="D257" s="4" t="s">
        <v>543</v>
      </c>
      <c r="E257" s="4"/>
      <c r="F257" s="4"/>
      <c r="G257" s="4"/>
      <c r="H257" s="4"/>
      <c r="I257" s="4"/>
      <c r="J257" s="4"/>
      <c r="K257" s="4"/>
      <c r="L257" s="4"/>
      <c r="M257" s="1376" t="s">
        <v>544</v>
      </c>
      <c r="N257" s="1376"/>
      <c r="O257" s="1376"/>
      <c r="P257" s="1376"/>
      <c r="Q257" s="1376"/>
      <c r="R257" s="1376"/>
      <c r="S257" s="1376"/>
      <c r="T257" s="1376"/>
      <c r="U257" s="218" t="s">
        <v>921</v>
      </c>
      <c r="V257" s="218"/>
      <c r="W257" s="218"/>
      <c r="X257" s="218"/>
      <c r="Y257" s="218"/>
      <c r="Z257" s="218"/>
      <c r="AA257" s="1527" t="s">
        <v>2723</v>
      </c>
      <c r="AB257" s="1527"/>
      <c r="AC257" s="1527"/>
      <c r="AD257" s="1527"/>
      <c r="AE257" s="1527"/>
      <c r="AF257" s="1527"/>
      <c r="AG257" s="1527"/>
      <c r="AH257" s="1527"/>
      <c r="AI257" s="1527"/>
      <c r="AJ257" s="1527"/>
      <c r="AK257" s="1527"/>
      <c r="AL257" s="3"/>
      <c r="AM257" s="3"/>
      <c r="AN257" s="3"/>
      <c r="AO257" s="3"/>
      <c r="AP257" s="3"/>
      <c r="AQ257" s="3"/>
      <c r="AR257" s="3"/>
      <c r="AS257" s="3"/>
      <c r="AT257" s="3"/>
      <c r="AU257" s="3"/>
      <c r="AV257" s="3"/>
      <c r="AW257" s="3"/>
      <c r="AX257" s="3"/>
      <c r="AY257" s="3"/>
      <c r="BN257" s="34"/>
    </row>
    <row r="258" spans="1:66"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 customHeight="1">
      <c r="A259" s="13"/>
      <c r="B259" s="4"/>
      <c r="C259" s="56" t="s">
        <v>888</v>
      </c>
      <c r="D259" s="4" t="s">
        <v>540</v>
      </c>
      <c r="E259" s="4"/>
      <c r="F259" s="4"/>
      <c r="G259" s="4"/>
      <c r="H259" s="4"/>
      <c r="I259" s="4"/>
      <c r="J259" s="4"/>
      <c r="K259" s="4"/>
      <c r="L259" s="4"/>
      <c r="M259" s="1525"/>
      <c r="N259" s="1525"/>
      <c r="O259" s="1525"/>
      <c r="P259" s="1525"/>
      <c r="Q259" s="1525"/>
      <c r="R259" s="1525"/>
      <c r="S259" s="1525"/>
      <c r="T259" s="1525"/>
      <c r="U259" s="1525"/>
      <c r="V259" s="1525"/>
      <c r="W259" s="1525"/>
      <c r="X259" s="1525"/>
      <c r="Y259" s="1525"/>
      <c r="Z259" s="1525"/>
      <c r="AA259" s="1525"/>
      <c r="AB259" s="1525"/>
      <c r="AC259" s="1525"/>
      <c r="AD259" s="1525"/>
      <c r="AE259" s="1525"/>
      <c r="AF259" s="1525" t="s">
        <v>308</v>
      </c>
      <c r="AG259" s="1525"/>
      <c r="AH259" s="1525"/>
      <c r="AI259" s="1525"/>
      <c r="AJ259" s="1525"/>
      <c r="AK259" s="1525"/>
      <c r="AL259" s="3"/>
      <c r="AM259" s="3"/>
      <c r="AN259" s="3"/>
      <c r="AO259" s="3"/>
      <c r="AP259" s="3"/>
      <c r="AQ259" s="3"/>
      <c r="AR259" s="3"/>
      <c r="AS259" s="3"/>
      <c r="AT259" s="3"/>
      <c r="AU259" s="3"/>
      <c r="AV259" s="3"/>
      <c r="AW259" s="3"/>
      <c r="AX259" s="3"/>
      <c r="AY259" s="3"/>
      <c r="BN259" s="34"/>
    </row>
    <row r="260" spans="1:66" ht="12.9" customHeight="1">
      <c r="A260" s="13"/>
      <c r="B260" s="4"/>
      <c r="C260" s="4"/>
      <c r="D260" s="4" t="s">
        <v>85</v>
      </c>
      <c r="E260" s="4"/>
      <c r="F260" s="4"/>
      <c r="G260" s="4"/>
      <c r="H260" s="4"/>
      <c r="I260" s="4"/>
      <c r="J260" s="4"/>
      <c r="K260" s="4"/>
      <c r="L260" s="4"/>
      <c r="M260" s="1520"/>
      <c r="N260" s="1520"/>
      <c r="O260" s="1520"/>
      <c r="P260" s="1520"/>
      <c r="Q260" s="1520"/>
      <c r="R260" s="1520"/>
      <c r="S260" s="1520"/>
      <c r="T260" s="1520"/>
      <c r="U260" s="1520"/>
      <c r="V260" s="1520"/>
      <c r="W260" s="1520"/>
      <c r="X260" s="1520"/>
      <c r="Y260" s="1520"/>
      <c r="Z260" s="1520"/>
      <c r="AA260" s="1520"/>
      <c r="AB260" s="1520"/>
      <c r="AC260" s="1520"/>
      <c r="AD260" s="1520"/>
      <c r="AE260" s="1520"/>
      <c r="AF260" s="3" t="s">
        <v>1285</v>
      </c>
      <c r="AL260" s="3"/>
      <c r="AM260" s="3"/>
      <c r="AN260" s="3"/>
      <c r="AO260" s="3"/>
      <c r="AP260" s="3"/>
      <c r="AQ260" s="3"/>
      <c r="AR260" s="3"/>
      <c r="AS260" s="3"/>
      <c r="AT260" s="3"/>
      <c r="AU260" s="3"/>
      <c r="AV260" s="3"/>
      <c r="AW260" s="3"/>
      <c r="AX260" s="3"/>
      <c r="AY260" s="3"/>
      <c r="BN260" s="34"/>
    </row>
    <row r="261" spans="1:66" ht="12.9" customHeight="1">
      <c r="A261" s="13"/>
      <c r="B261" s="4"/>
      <c r="C261" s="4"/>
      <c r="D261" s="4" t="s">
        <v>588</v>
      </c>
      <c r="E261" s="4"/>
      <c r="M261" s="1520"/>
      <c r="N261" s="1520"/>
      <c r="O261" s="1520"/>
      <c r="P261" s="1520"/>
      <c r="Q261" s="1520"/>
      <c r="R261" s="1520"/>
      <c r="S261" s="1520"/>
      <c r="T261" s="1520"/>
      <c r="V261" s="33" t="s">
        <v>86</v>
      </c>
      <c r="W261" s="1377"/>
      <c r="X261" s="1377"/>
      <c r="Y261" s="4" t="s">
        <v>591</v>
      </c>
      <c r="AC261" s="1520"/>
      <c r="AD261" s="1520"/>
      <c r="AE261" s="1520"/>
      <c r="AF261" s="3" t="s">
        <v>1286</v>
      </c>
      <c r="AL261" s="3"/>
      <c r="AM261" s="3"/>
      <c r="AN261" s="3"/>
      <c r="AO261" s="3"/>
      <c r="AP261" s="3"/>
      <c r="AQ261" s="3"/>
      <c r="AR261" s="3"/>
      <c r="AS261" s="3"/>
      <c r="AT261" s="3"/>
      <c r="AU261" s="3"/>
      <c r="AV261" s="3"/>
      <c r="AW261" s="3"/>
      <c r="AX261" s="3"/>
      <c r="AY261" s="3"/>
      <c r="BN261" s="34"/>
    </row>
    <row r="262" spans="1:66" ht="12.9" customHeight="1">
      <c r="A262" s="13"/>
      <c r="B262" s="4"/>
      <c r="C262" s="4"/>
      <c r="D262" s="4" t="s">
        <v>87</v>
      </c>
      <c r="E262" s="4"/>
      <c r="F262" s="4"/>
      <c r="G262" s="4"/>
      <c r="H262" s="4"/>
      <c r="I262" s="4"/>
      <c r="J262" s="4"/>
      <c r="K262" s="4"/>
      <c r="L262" s="19"/>
      <c r="M262" s="1520"/>
      <c r="N262" s="1520"/>
      <c r="O262" s="1520"/>
      <c r="P262" s="1520"/>
      <c r="Q262" s="1520"/>
      <c r="R262" s="1520"/>
      <c r="S262" s="1520"/>
      <c r="T262" s="1520"/>
      <c r="U262" s="1520"/>
      <c r="V262" s="1520"/>
      <c r="W262" s="1520"/>
      <c r="X262" s="1520"/>
      <c r="Y262" s="1520"/>
      <c r="Z262" s="1520"/>
      <c r="AA262" s="1520"/>
      <c r="AB262" s="1520"/>
      <c r="AC262" s="1520"/>
      <c r="AD262" s="1520"/>
      <c r="AE262" s="1520"/>
      <c r="AH262" s="1549"/>
      <c r="AI262" s="1549"/>
      <c r="AJ262" s="1549"/>
      <c r="AK262" s="1549"/>
      <c r="AL262" s="3"/>
      <c r="AM262" s="3"/>
      <c r="AN262" s="3"/>
      <c r="AO262" s="3"/>
      <c r="AP262" s="3"/>
      <c r="AQ262" s="3"/>
      <c r="AR262" s="3"/>
      <c r="AS262" s="3"/>
      <c r="AT262" s="3"/>
      <c r="AU262" s="3"/>
      <c r="AV262" s="3"/>
      <c r="AW262" s="3"/>
      <c r="AX262" s="3"/>
      <c r="AY262" s="3"/>
      <c r="BN262" s="34"/>
    </row>
    <row r="263" spans="1:66" ht="12.9" customHeight="1">
      <c r="A263" s="13"/>
      <c r="B263" s="4"/>
      <c r="C263" s="4"/>
      <c r="D263" s="4" t="s">
        <v>88</v>
      </c>
      <c r="E263" s="4"/>
      <c r="F263" s="4"/>
      <c r="M263" s="1396"/>
      <c r="N263" s="1396"/>
      <c r="O263" s="1396"/>
      <c r="P263" s="1396"/>
      <c r="Q263" s="1396"/>
      <c r="R263" s="1396"/>
      <c r="S263" s="4" t="s">
        <v>207</v>
      </c>
      <c r="T263" s="4"/>
      <c r="U263" s="1377"/>
      <c r="V263" s="1377"/>
      <c r="W263" s="1377"/>
      <c r="X263" s="4" t="s">
        <v>89</v>
      </c>
      <c r="Z263" s="1396"/>
      <c r="AA263" s="1396"/>
      <c r="AB263" s="1396"/>
      <c r="AC263" s="1396"/>
      <c r="AD263" s="1396"/>
      <c r="AE263" s="1396"/>
      <c r="AL263" s="3"/>
      <c r="AM263" s="3"/>
      <c r="AN263" s="3"/>
      <c r="AO263" s="3"/>
      <c r="AP263" s="3"/>
      <c r="AQ263" s="3"/>
      <c r="AR263" s="3"/>
      <c r="AS263" s="3"/>
      <c r="AT263" s="3"/>
      <c r="AU263" s="3"/>
      <c r="AV263" s="3"/>
      <c r="AW263" s="3"/>
      <c r="AX263" s="3"/>
      <c r="AY263" s="3"/>
      <c r="BN263" s="34"/>
    </row>
    <row r="264" spans="1:66" ht="12.9" customHeight="1">
      <c r="A264" s="13"/>
      <c r="B264" s="4"/>
      <c r="C264" s="4"/>
      <c r="D264" s="4" t="s">
        <v>90</v>
      </c>
      <c r="E264" s="4"/>
      <c r="F264" s="4"/>
      <c r="M264" s="1523"/>
      <c r="N264" s="1523"/>
      <c r="O264" s="1523"/>
      <c r="P264" s="1523"/>
      <c r="Q264" s="1523"/>
      <c r="R264" s="1523"/>
      <c r="S264" s="1523"/>
      <c r="T264" s="1523"/>
      <c r="U264" s="1523"/>
      <c r="V264" s="1523"/>
      <c r="W264" s="1523"/>
      <c r="X264" s="1523"/>
      <c r="Y264" s="1523"/>
      <c r="Z264" s="1523"/>
      <c r="AA264" s="1524"/>
      <c r="AB264" s="1524"/>
      <c r="AC264" s="1524"/>
      <c r="AD264" s="1524"/>
      <c r="AE264" s="1524"/>
      <c r="AG264" s="4"/>
      <c r="AH264" s="4"/>
      <c r="AI264" s="4"/>
      <c r="AJ264" s="4"/>
      <c r="AK264" s="4"/>
      <c r="AL264" s="3"/>
      <c r="AM264" s="3"/>
      <c r="AN264" s="3"/>
      <c r="AO264" s="3"/>
      <c r="AP264" s="3"/>
      <c r="AQ264" s="3"/>
      <c r="AR264" s="3"/>
      <c r="AS264" s="3"/>
      <c r="AT264" s="3"/>
      <c r="AU264" s="3"/>
      <c r="AV264" s="3"/>
      <c r="AW264" s="3"/>
      <c r="AX264" s="3"/>
      <c r="AY264" s="3"/>
      <c r="BN264" s="34"/>
    </row>
    <row r="265" spans="1:66" ht="12.9" customHeight="1">
      <c r="A265" s="13"/>
      <c r="B265" s="4"/>
      <c r="C265" s="56"/>
      <c r="D265" s="4" t="s">
        <v>543</v>
      </c>
      <c r="E265" s="4"/>
      <c r="F265" s="4"/>
      <c r="G265" s="4"/>
      <c r="H265" s="4"/>
      <c r="I265" s="4"/>
      <c r="J265" s="4"/>
      <c r="K265" s="4"/>
      <c r="L265" s="4"/>
      <c r="M265" s="1376" t="s">
        <v>308</v>
      </c>
      <c r="N265" s="1376"/>
      <c r="O265" s="1376"/>
      <c r="P265" s="1376"/>
      <c r="Q265" s="1376"/>
      <c r="R265" s="1376"/>
      <c r="S265" s="1376"/>
      <c r="T265" s="1376"/>
      <c r="U265" s="218" t="s">
        <v>921</v>
      </c>
      <c r="V265" s="218"/>
      <c r="W265" s="218"/>
      <c r="X265" s="218"/>
      <c r="Y265" s="218"/>
      <c r="Z265" s="218"/>
      <c r="AA265" s="1529"/>
      <c r="AB265" s="1529"/>
      <c r="AC265" s="1529"/>
      <c r="AD265" s="1529"/>
      <c r="AE265" s="1529"/>
      <c r="AF265" s="1529"/>
      <c r="AG265" s="1529"/>
      <c r="AH265" s="1529"/>
      <c r="AI265" s="1529"/>
      <c r="AJ265" s="1529"/>
      <c r="AK265" s="1529"/>
      <c r="AL265" s="3"/>
      <c r="AM265" s="3"/>
      <c r="AN265" s="3"/>
      <c r="AO265" s="3"/>
      <c r="AP265" s="3"/>
      <c r="AQ265" s="3"/>
      <c r="AR265" s="3"/>
      <c r="AS265" s="3"/>
      <c r="AT265" s="3"/>
      <c r="BN265" s="34"/>
    </row>
    <row r="266" spans="1:66"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 customHeight="1">
      <c r="A267" s="57" t="s">
        <v>598</v>
      </c>
      <c r="B267" s="4"/>
      <c r="C267" s="2" t="s">
        <v>296</v>
      </c>
      <c r="D267" s="4"/>
      <c r="E267" s="4"/>
      <c r="F267" s="4"/>
      <c r="G267" s="4"/>
      <c r="H267" s="4"/>
      <c r="I267" s="4"/>
      <c r="J267" s="4"/>
      <c r="K267" s="4"/>
      <c r="L267" s="4"/>
      <c r="M267" s="35"/>
      <c r="N267" s="35"/>
      <c r="O267" s="35"/>
      <c r="P267" s="35"/>
      <c r="Q267" s="35"/>
      <c r="T267" s="1528" t="str">
        <f>IFERROR(BO245,"")</f>
        <v>Joint Venture</v>
      </c>
      <c r="U267" s="1528"/>
      <c r="V267" s="1528"/>
      <c r="W267" s="1528"/>
      <c r="X267" s="1528"/>
      <c r="Z267" s="331" t="s">
        <v>973</v>
      </c>
      <c r="AA267" s="332"/>
      <c r="AB267" s="332"/>
      <c r="AC267" s="332"/>
      <c r="AD267" s="105"/>
      <c r="AE267" s="105"/>
      <c r="AF267" s="105"/>
      <c r="AG267" s="105"/>
      <c r="AH267" s="105"/>
      <c r="AI267" s="105"/>
      <c r="AJ267" s="105"/>
      <c r="AK267" s="333"/>
      <c r="AL267" s="58"/>
      <c r="BN267" s="34"/>
    </row>
    <row r="268" spans="1:66" ht="12.9"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 customHeight="1">
      <c r="A270" s="4"/>
      <c r="B270" s="36">
        <v>0</v>
      </c>
      <c r="D270" s="1520" t="s">
        <v>281</v>
      </c>
      <c r="E270" s="1520"/>
      <c r="F270" s="1520"/>
      <c r="G270" s="1520"/>
      <c r="H270" s="1520"/>
      <c r="J270" t="s">
        <v>280</v>
      </c>
      <c r="X270" s="1521"/>
      <c r="Y270" s="1521"/>
      <c r="Z270" s="1521"/>
      <c r="AA270" s="1521"/>
      <c r="AB270" s="1521"/>
      <c r="AC270" s="1521"/>
      <c r="AU270" s="3"/>
      <c r="AV270" s="3"/>
      <c r="AW270" s="3"/>
      <c r="AX270" s="3"/>
      <c r="AY270" s="3"/>
      <c r="BN270" s="34"/>
    </row>
    <row r="271" spans="1:66" ht="12.9"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 customHeight="1">
      <c r="D274" s="4" t="s">
        <v>297</v>
      </c>
      <c r="E274" s="4"/>
      <c r="F274" s="4"/>
      <c r="G274" s="4"/>
      <c r="H274" s="4"/>
      <c r="I274" s="4"/>
      <c r="J274" s="4"/>
      <c r="K274" s="4"/>
      <c r="L274" s="1525" t="s">
        <v>2775</v>
      </c>
      <c r="M274" s="1525"/>
      <c r="N274" s="1525"/>
      <c r="O274" s="1525"/>
      <c r="P274" s="1525"/>
      <c r="Q274" s="1525"/>
      <c r="R274" s="1525"/>
      <c r="S274" s="1525"/>
      <c r="T274" s="1525"/>
      <c r="U274" s="1525"/>
      <c r="V274" s="1525"/>
      <c r="W274" s="1525"/>
      <c r="X274" s="1525"/>
      <c r="Y274" s="1525"/>
      <c r="Z274" s="1525"/>
      <c r="AA274" s="1525"/>
      <c r="AB274" s="1525"/>
      <c r="AC274" s="1525"/>
      <c r="AD274" s="1525"/>
      <c r="AE274" s="1525"/>
      <c r="AF274" s="1525"/>
      <c r="AG274" s="1525"/>
      <c r="AH274" s="1525"/>
      <c r="AI274" s="1525"/>
      <c r="AJ274" s="1525"/>
      <c r="AK274" s="3"/>
      <c r="AL274" s="3"/>
      <c r="AM274" s="3"/>
      <c r="AN274" s="3"/>
      <c r="AO274" s="3"/>
      <c r="AP274" s="3"/>
      <c r="AQ274" s="3"/>
      <c r="AR274" s="3"/>
      <c r="AS274" s="3"/>
      <c r="AT274" s="3"/>
      <c r="AU274" s="3"/>
      <c r="AV274" s="3"/>
      <c r="AW274" s="3"/>
      <c r="AX274" s="3"/>
      <c r="AY274" s="3"/>
      <c r="BN274" s="34"/>
    </row>
    <row r="275" spans="1:66" ht="12.9" customHeight="1">
      <c r="D275" s="4" t="s">
        <v>85</v>
      </c>
      <c r="E275" s="4"/>
      <c r="F275" s="4"/>
      <c r="G275" s="4"/>
      <c r="H275" s="4"/>
      <c r="I275" s="4"/>
      <c r="J275" s="4"/>
      <c r="K275" s="4"/>
      <c r="L275" s="1520" t="s">
        <v>2679</v>
      </c>
      <c r="M275" s="1520"/>
      <c r="N275" s="1520"/>
      <c r="O275" s="1520"/>
      <c r="P275" s="1520"/>
      <c r="Q275" s="1520"/>
      <c r="R275" s="1520"/>
      <c r="S275" s="1520"/>
      <c r="T275" s="1520"/>
      <c r="U275" s="1520"/>
      <c r="V275" s="1520"/>
      <c r="W275" s="1520"/>
      <c r="X275" s="1520"/>
      <c r="Y275" s="1520"/>
      <c r="Z275" s="1520"/>
      <c r="AA275" s="1520"/>
      <c r="AB275" s="1520"/>
      <c r="AC275" s="1520"/>
      <c r="AD275" s="1520"/>
      <c r="AK275" s="3"/>
      <c r="AL275" s="3"/>
      <c r="AM275" s="3"/>
      <c r="AN275" s="3"/>
      <c r="AO275" s="3"/>
      <c r="AP275" s="3"/>
      <c r="AQ275" s="3"/>
      <c r="AR275" s="3"/>
      <c r="AS275" s="3"/>
      <c r="AT275" s="3"/>
      <c r="AU275" s="3"/>
      <c r="AV275" s="3"/>
      <c r="AW275" s="3"/>
      <c r="AX275" s="3"/>
      <c r="AY275" s="3"/>
      <c r="BN275" s="34"/>
    </row>
    <row r="276" spans="1:66" ht="12.9" customHeight="1">
      <c r="D276" s="4" t="s">
        <v>588</v>
      </c>
      <c r="E276" s="4"/>
      <c r="L276" s="1520" t="s">
        <v>2665</v>
      </c>
      <c r="M276" s="1520"/>
      <c r="N276" s="1520"/>
      <c r="O276" s="1520"/>
      <c r="P276" s="1520"/>
      <c r="Q276" s="1520"/>
      <c r="R276" s="1520"/>
      <c r="S276" s="1520"/>
      <c r="U276" s="33" t="s">
        <v>86</v>
      </c>
      <c r="V276" s="1377" t="s">
        <v>2666</v>
      </c>
      <c r="W276" s="1377"/>
      <c r="X276" s="4" t="s">
        <v>591</v>
      </c>
      <c r="AB276" s="1520">
        <v>92612</v>
      </c>
      <c r="AC276" s="1520"/>
      <c r="AD276" s="1520"/>
      <c r="AK276" s="3"/>
      <c r="AL276" s="3"/>
      <c r="AM276" s="3"/>
      <c r="AN276" s="3"/>
      <c r="AO276" s="3"/>
      <c r="AP276" s="3"/>
      <c r="AQ276" s="3"/>
      <c r="AR276" s="3"/>
      <c r="AS276" s="3"/>
      <c r="AT276" s="3"/>
      <c r="AU276" s="3"/>
      <c r="AV276" s="3"/>
      <c r="AW276" s="3"/>
      <c r="AX276" s="3"/>
      <c r="AY276" s="3"/>
      <c r="BN276" s="34"/>
    </row>
    <row r="277" spans="1:66" ht="12.9" customHeight="1">
      <c r="D277" s="4" t="s">
        <v>87</v>
      </c>
      <c r="E277" s="4"/>
      <c r="F277" s="4"/>
      <c r="G277" s="4"/>
      <c r="H277" s="4"/>
      <c r="I277" s="4"/>
      <c r="J277" s="4"/>
      <c r="K277" s="19"/>
      <c r="L277" s="1520" t="s">
        <v>2667</v>
      </c>
      <c r="M277" s="1520"/>
      <c r="N277" s="1520"/>
      <c r="O277" s="1520"/>
      <c r="P277" s="1520"/>
      <c r="Q277" s="1520"/>
      <c r="R277" s="1520"/>
      <c r="S277" s="1520"/>
      <c r="T277" s="1520"/>
      <c r="U277" s="1520"/>
      <c r="V277" s="1520"/>
      <c r="W277" s="1520"/>
      <c r="X277" s="1520"/>
      <c r="Y277" s="1520"/>
      <c r="Z277" s="1520"/>
      <c r="AA277" s="1520"/>
      <c r="AB277" s="1520"/>
      <c r="AC277" s="1520"/>
      <c r="AD277" s="1520"/>
      <c r="AI277" s="4"/>
      <c r="AJ277" s="4"/>
      <c r="AK277" s="3"/>
      <c r="AL277" s="3"/>
      <c r="AM277" s="3"/>
      <c r="AN277" s="3"/>
      <c r="AO277" s="3"/>
      <c r="AP277" s="3"/>
      <c r="AQ277" s="3"/>
      <c r="AR277" s="3"/>
      <c r="AS277" s="3"/>
      <c r="AT277" s="3"/>
      <c r="BN277" s="34"/>
    </row>
    <row r="278" spans="1:66" ht="12.9" customHeight="1">
      <c r="D278" s="4" t="s">
        <v>88</v>
      </c>
      <c r="E278" s="4"/>
      <c r="F278" s="4"/>
      <c r="L278" s="1396" t="s">
        <v>2668</v>
      </c>
      <c r="M278" s="1396"/>
      <c r="N278" s="1396"/>
      <c r="O278" s="1396"/>
      <c r="P278" s="1396"/>
      <c r="Q278" s="1396"/>
      <c r="R278" s="4" t="s">
        <v>207</v>
      </c>
      <c r="S278" s="4"/>
      <c r="T278" s="1377"/>
      <c r="U278" s="1377"/>
      <c r="V278" s="1377"/>
      <c r="W278" s="4" t="s">
        <v>89</v>
      </c>
      <c r="Y278" s="1396"/>
      <c r="Z278" s="1396"/>
      <c r="AA278" s="1396"/>
      <c r="AB278" s="1396"/>
      <c r="AC278" s="1396"/>
      <c r="AD278" s="1396"/>
      <c r="BN278" s="34"/>
    </row>
    <row r="279" spans="1:66" ht="12.9" customHeight="1">
      <c r="D279" s="4" t="s">
        <v>90</v>
      </c>
      <c r="E279" s="4"/>
      <c r="F279" s="4"/>
      <c r="L279" s="1523" t="s">
        <v>2669</v>
      </c>
      <c r="M279" s="1523"/>
      <c r="N279" s="1523"/>
      <c r="O279" s="1523"/>
      <c r="P279" s="1523"/>
      <c r="Q279" s="1523"/>
      <c r="R279" s="1523"/>
      <c r="S279" s="1523"/>
      <c r="T279" s="1523"/>
      <c r="U279" s="1523"/>
      <c r="V279" s="1523"/>
      <c r="W279" s="1523"/>
      <c r="X279" s="1523"/>
      <c r="Y279" s="1523"/>
      <c r="Z279" s="1523"/>
      <c r="AA279" s="1523"/>
      <c r="AB279" s="1523"/>
      <c r="AC279" s="1523"/>
      <c r="AD279" s="1523"/>
      <c r="AF279" s="4"/>
      <c r="AG279" s="4"/>
      <c r="AH279" s="4"/>
      <c r="AI279" s="4"/>
      <c r="AJ279" s="4"/>
      <c r="AU279" s="3"/>
      <c r="AV279" s="3"/>
      <c r="AW279" s="3"/>
      <c r="AX279" s="3"/>
      <c r="AY279" s="3"/>
      <c r="BN279" s="34"/>
    </row>
    <row r="280" spans="1:66" ht="12.9" customHeight="1">
      <c r="D280" s="3" t="s">
        <v>631</v>
      </c>
      <c r="E280" s="3"/>
      <c r="F280" s="3"/>
      <c r="G280" s="3"/>
      <c r="H280" s="3"/>
      <c r="I280" s="3"/>
      <c r="L280" s="1444" t="s">
        <v>2724</v>
      </c>
      <c r="M280" s="1444"/>
      <c r="N280" s="1444"/>
      <c r="O280" s="1444"/>
      <c r="P280" s="1444"/>
      <c r="Q280" s="1444"/>
      <c r="R280" s="1444"/>
      <c r="S280" s="1444"/>
      <c r="T280" s="1444"/>
      <c r="U280" s="1444"/>
      <c r="V280" s="1444"/>
      <c r="W280" s="1444"/>
      <c r="X280" s="1444"/>
      <c r="Y280" s="1444"/>
      <c r="Z280" s="1444"/>
      <c r="AA280" s="1444"/>
      <c r="AB280" s="1444"/>
      <c r="AC280" s="1444"/>
      <c r="AD280" s="1444"/>
      <c r="AK280" s="3"/>
      <c r="AL280" s="3"/>
      <c r="AM280" s="3"/>
      <c r="AN280" s="3"/>
      <c r="AO280" s="3"/>
      <c r="AP280" s="3"/>
      <c r="AQ280" s="3"/>
      <c r="AR280" s="3"/>
      <c r="AS280" s="3"/>
      <c r="AT280" s="3"/>
      <c r="BN280" s="34"/>
    </row>
    <row r="281" spans="1:66" ht="12.9" customHeight="1">
      <c r="L281" s="22" t="s">
        <v>632</v>
      </c>
      <c r="AU281" s="95"/>
      <c r="AV281" s="95"/>
      <c r="AW281" s="95"/>
      <c r="AX281" s="95"/>
      <c r="AY281" s="95"/>
      <c r="BN281" s="34"/>
    </row>
    <row r="282" spans="1:66" ht="12.9" customHeight="1">
      <c r="A282" s="1661" t="s">
        <v>549</v>
      </c>
      <c r="B282" s="1661"/>
      <c r="C282" s="1661"/>
      <c r="D282" s="1661"/>
      <c r="E282" s="1661"/>
      <c r="F282" s="1661"/>
      <c r="G282" s="1661"/>
      <c r="H282" s="1661"/>
      <c r="I282" s="1661"/>
      <c r="J282" s="1661"/>
      <c r="K282" s="1661"/>
      <c r="L282" s="1661"/>
      <c r="M282" s="1661"/>
      <c r="N282" s="1661"/>
      <c r="O282" s="1661"/>
      <c r="P282" s="1661"/>
      <c r="Q282" s="1661"/>
      <c r="R282" s="1661"/>
      <c r="S282" s="1661"/>
      <c r="T282" s="1661"/>
      <c r="U282" s="1661"/>
      <c r="V282" s="1661"/>
      <c r="W282" s="1661"/>
      <c r="X282" s="1661"/>
      <c r="Y282" s="1661"/>
      <c r="Z282" s="1661"/>
      <c r="AA282" s="1661"/>
      <c r="AB282" s="1661"/>
      <c r="AC282" s="1661"/>
      <c r="AD282" s="1661"/>
      <c r="AE282" s="1661"/>
      <c r="AF282" s="1661"/>
      <c r="AG282" s="1661"/>
      <c r="AH282" s="1661"/>
      <c r="AI282" s="1661"/>
      <c r="AJ282" s="1661"/>
      <c r="AK282" s="1661"/>
      <c r="AL282" s="1661"/>
      <c r="AM282" s="1661"/>
      <c r="AN282" s="1661"/>
      <c r="AO282" s="1661"/>
      <c r="AP282" s="1661"/>
      <c r="AQ282" s="1661"/>
      <c r="AR282" s="1661"/>
      <c r="AS282" s="1661"/>
      <c r="AT282" s="1661"/>
      <c r="AU282" s="95"/>
      <c r="AV282" s="95"/>
      <c r="AW282" s="95"/>
      <c r="AX282" s="95"/>
      <c r="AY282" s="95"/>
      <c r="BN282" s="34"/>
    </row>
    <row r="283" spans="1:66" ht="12.9" customHeight="1">
      <c r="A283" s="1661"/>
      <c r="B283" s="1661"/>
      <c r="C283" s="1661"/>
      <c r="D283" s="1661"/>
      <c r="E283" s="1661"/>
      <c r="F283" s="1661"/>
      <c r="G283" s="1661"/>
      <c r="H283" s="1661"/>
      <c r="I283" s="1661"/>
      <c r="J283" s="1661"/>
      <c r="K283" s="1661"/>
      <c r="L283" s="1661"/>
      <c r="M283" s="1661"/>
      <c r="N283" s="1661"/>
      <c r="O283" s="1661"/>
      <c r="P283" s="1661"/>
      <c r="Q283" s="1661"/>
      <c r="R283" s="1661"/>
      <c r="S283" s="1661"/>
      <c r="T283" s="1661"/>
      <c r="U283" s="1661"/>
      <c r="V283" s="1661"/>
      <c r="W283" s="1661"/>
      <c r="X283" s="1661"/>
      <c r="Y283" s="1661"/>
      <c r="Z283" s="1661"/>
      <c r="AA283" s="1661"/>
      <c r="AB283" s="1661"/>
      <c r="AC283" s="1661"/>
      <c r="AD283" s="1661"/>
      <c r="AE283" s="1661"/>
      <c r="AF283" s="1661"/>
      <c r="AG283" s="1661"/>
      <c r="AH283" s="1661"/>
      <c r="AI283" s="1661"/>
      <c r="AJ283" s="1661"/>
      <c r="AK283" s="1661"/>
      <c r="AL283" s="1661"/>
      <c r="AM283" s="1661"/>
      <c r="AN283" s="1661"/>
      <c r="AO283" s="1661"/>
      <c r="AP283" s="1661"/>
      <c r="AQ283" s="1661"/>
      <c r="AR283" s="1661"/>
      <c r="AS283" s="1661"/>
      <c r="AT283" s="1661"/>
      <c r="AU283" s="25"/>
      <c r="AV283" s="25"/>
      <c r="AW283" s="25"/>
      <c r="AX283" s="25"/>
      <c r="AY283" s="25"/>
      <c r="BN283" s="34"/>
    </row>
    <row r="284" spans="1:66"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 customHeight="1">
      <c r="B287" s="3" t="s">
        <v>634</v>
      </c>
      <c r="C287" s="3"/>
      <c r="D287" s="3"/>
      <c r="E287" s="3"/>
      <c r="F287" s="3"/>
      <c r="H287" s="1487" t="s">
        <v>2775</v>
      </c>
      <c r="I287" s="1364"/>
      <c r="J287" s="1364"/>
      <c r="K287" s="1364"/>
      <c r="L287" s="1364"/>
      <c r="M287" s="1364"/>
      <c r="N287" s="1364"/>
      <c r="O287" s="1364"/>
      <c r="P287" s="1364"/>
      <c r="Q287" s="1364"/>
      <c r="R287" s="1364"/>
      <c r="T287" s="3" t="s">
        <v>575</v>
      </c>
      <c r="V287" s="3"/>
      <c r="W287" s="3"/>
      <c r="X287" s="3"/>
      <c r="Y287" s="3"/>
      <c r="AA287" s="1487" t="s">
        <v>2681</v>
      </c>
      <c r="AB287" s="1364"/>
      <c r="AC287" s="1364"/>
      <c r="AD287" s="1364"/>
      <c r="AE287" s="1364"/>
      <c r="AF287" s="1364"/>
      <c r="AG287" s="1364"/>
      <c r="AH287" s="1364"/>
      <c r="AI287" s="1364"/>
      <c r="AJ287" s="1364"/>
      <c r="AK287" s="1364"/>
      <c r="BN287" s="34"/>
    </row>
    <row r="288" spans="1:66" ht="12.9" customHeight="1">
      <c r="B288" s="3" t="s">
        <v>479</v>
      </c>
      <c r="C288" s="3"/>
      <c r="D288" s="3"/>
      <c r="E288" s="3"/>
      <c r="F288" s="3"/>
      <c r="H288" s="1444" t="s">
        <v>2679</v>
      </c>
      <c r="I288" s="1376"/>
      <c r="J288" s="1376"/>
      <c r="K288" s="1376"/>
      <c r="L288" s="1376"/>
      <c r="M288" s="1376"/>
      <c r="N288" s="1376"/>
      <c r="O288" s="1376"/>
      <c r="P288" s="1376"/>
      <c r="Q288" s="1376"/>
      <c r="R288" s="1376"/>
      <c r="T288" s="3" t="s">
        <v>479</v>
      </c>
      <c r="V288" s="3"/>
      <c r="W288" s="3"/>
      <c r="X288" s="3"/>
      <c r="Y288" s="3"/>
      <c r="AA288" s="1444" t="s">
        <v>2682</v>
      </c>
      <c r="AB288" s="1376"/>
      <c r="AC288" s="1376"/>
      <c r="AD288" s="1376"/>
      <c r="AE288" s="1376"/>
      <c r="AF288" s="1376"/>
      <c r="AG288" s="1376"/>
      <c r="AH288" s="1376"/>
      <c r="AI288" s="1376"/>
      <c r="AJ288" s="1376"/>
      <c r="AK288" s="1376"/>
      <c r="BN288" s="34"/>
    </row>
    <row r="289" spans="2:66" ht="12.9" customHeight="1">
      <c r="B289" s="3" t="s">
        <v>480</v>
      </c>
      <c r="C289" s="3"/>
      <c r="D289" s="3"/>
      <c r="E289" s="3"/>
      <c r="F289" s="3"/>
      <c r="H289" s="1444" t="s">
        <v>2680</v>
      </c>
      <c r="I289" s="1376"/>
      <c r="J289" s="1376"/>
      <c r="K289" s="1376"/>
      <c r="L289" s="1376"/>
      <c r="M289" s="1376"/>
      <c r="N289" s="1376"/>
      <c r="O289" s="1376"/>
      <c r="P289" s="1376"/>
      <c r="Q289" s="1376"/>
      <c r="R289" s="1376"/>
      <c r="T289" s="3" t="s">
        <v>75</v>
      </c>
      <c r="V289" s="3"/>
      <c r="W289" s="3"/>
      <c r="X289" s="3"/>
      <c r="Y289" s="3"/>
      <c r="AA289" s="1444" t="s">
        <v>2683</v>
      </c>
      <c r="AB289" s="1376"/>
      <c r="AC289" s="1376"/>
      <c r="AD289" s="1376"/>
      <c r="AE289" s="1376"/>
      <c r="AF289" s="1376"/>
      <c r="AG289" s="1376"/>
      <c r="AH289" s="1376"/>
      <c r="AI289" s="1376"/>
      <c r="AJ289" s="1376"/>
      <c r="AK289" s="1376"/>
      <c r="BN289" s="34"/>
    </row>
    <row r="290" spans="2:66" ht="12.9" customHeight="1">
      <c r="B290" s="3" t="s">
        <v>87</v>
      </c>
      <c r="C290" s="3"/>
      <c r="D290" s="3"/>
      <c r="E290" s="3"/>
      <c r="F290" s="3"/>
      <c r="H290" s="1444" t="s">
        <v>2667</v>
      </c>
      <c r="I290" s="1376"/>
      <c r="J290" s="1376"/>
      <c r="K290" s="1376"/>
      <c r="L290" s="1376"/>
      <c r="M290" s="1376"/>
      <c r="N290" s="1376"/>
      <c r="O290" s="1376"/>
      <c r="P290" s="1376"/>
      <c r="Q290" s="1376"/>
      <c r="R290" s="1376"/>
      <c r="T290" s="3" t="s">
        <v>87</v>
      </c>
      <c r="V290" s="3"/>
      <c r="W290" s="3"/>
      <c r="X290" s="3"/>
      <c r="Y290" s="3"/>
      <c r="AA290" s="1444" t="s">
        <v>2684</v>
      </c>
      <c r="AB290" s="1376"/>
      <c r="AC290" s="1376"/>
      <c r="AD290" s="1376"/>
      <c r="AE290" s="1376"/>
      <c r="AF290" s="1376"/>
      <c r="AG290" s="1376"/>
      <c r="AH290" s="1376"/>
      <c r="AI290" s="1376"/>
      <c r="AJ290" s="1376"/>
      <c r="AK290" s="1376"/>
      <c r="BN290" s="34"/>
    </row>
    <row r="291" spans="2:66" ht="12.9" customHeight="1">
      <c r="B291" s="3" t="s">
        <v>88</v>
      </c>
      <c r="C291" s="3"/>
      <c r="D291" s="3"/>
      <c r="E291" s="3"/>
      <c r="F291" s="3"/>
      <c r="G291" s="3"/>
      <c r="H291" s="1445" t="s">
        <v>2668</v>
      </c>
      <c r="I291" s="1522"/>
      <c r="J291" s="1522"/>
      <c r="K291" s="1522"/>
      <c r="L291" s="1522"/>
      <c r="M291" s="1522"/>
      <c r="N291" s="4" t="s">
        <v>207</v>
      </c>
      <c r="O291" s="4"/>
      <c r="P291" s="1520"/>
      <c r="Q291" s="1520"/>
      <c r="R291" s="1520"/>
      <c r="S291" s="3"/>
      <c r="T291" s="3" t="s">
        <v>88</v>
      </c>
      <c r="V291" s="3"/>
      <c r="W291" s="3"/>
      <c r="X291" s="3"/>
      <c r="Y291" s="3"/>
      <c r="AA291" s="1445" t="s">
        <v>2711</v>
      </c>
      <c r="AB291" s="1522"/>
      <c r="AC291" s="1522"/>
      <c r="AD291" s="1522"/>
      <c r="AE291" s="1522"/>
      <c r="AF291" s="1522"/>
      <c r="AG291" s="4" t="s">
        <v>207</v>
      </c>
      <c r="AH291" s="4"/>
      <c r="AI291" s="1520"/>
      <c r="AJ291" s="1520"/>
      <c r="AK291" s="1520"/>
      <c r="BN291" s="34"/>
    </row>
    <row r="292" spans="2:66" ht="12.9" customHeight="1">
      <c r="B292" s="3" t="s">
        <v>89</v>
      </c>
      <c r="C292" s="3"/>
      <c r="D292" s="3"/>
      <c r="E292" s="3"/>
      <c r="F292" s="3"/>
      <c r="G292" s="3"/>
      <c r="H292" s="1396"/>
      <c r="I292" s="1396"/>
      <c r="J292" s="1396"/>
      <c r="K292" s="1396"/>
      <c r="L292" s="1396"/>
      <c r="M292" s="1396"/>
      <c r="N292" s="4"/>
      <c r="O292" s="4"/>
      <c r="P292" s="35"/>
      <c r="Q292" s="35"/>
      <c r="R292" s="35"/>
      <c r="S292" s="3"/>
      <c r="T292" s="3" t="s">
        <v>89</v>
      </c>
      <c r="V292" s="3"/>
      <c r="W292" s="3"/>
      <c r="X292" s="3"/>
      <c r="Y292" s="3"/>
      <c r="AA292" s="1396"/>
      <c r="AB292" s="1396"/>
      <c r="AC292" s="1396"/>
      <c r="AD292" s="1396"/>
      <c r="AE292" s="1396"/>
      <c r="AF292" s="1396"/>
      <c r="AG292" s="4"/>
      <c r="AH292" s="4"/>
      <c r="AI292" s="35"/>
      <c r="AJ292" s="35"/>
      <c r="AK292" s="35"/>
      <c r="BN292" s="34"/>
    </row>
    <row r="293" spans="2:66" ht="12.9" customHeight="1">
      <c r="B293" s="3" t="s">
        <v>76</v>
      </c>
      <c r="C293" s="3"/>
      <c r="D293" s="3"/>
      <c r="E293" s="3"/>
      <c r="F293" s="3"/>
      <c r="G293" s="3"/>
      <c r="H293" s="1444" t="s">
        <v>2669</v>
      </c>
      <c r="I293" s="1376"/>
      <c r="J293" s="1376"/>
      <c r="K293" s="1376"/>
      <c r="L293" s="1376"/>
      <c r="M293" s="1376"/>
      <c r="N293" s="1364"/>
      <c r="O293" s="1364"/>
      <c r="P293" s="1364"/>
      <c r="Q293" s="1364"/>
      <c r="R293" s="1364"/>
      <c r="S293" s="3"/>
      <c r="T293" s="3" t="s">
        <v>76</v>
      </c>
      <c r="V293" s="3"/>
      <c r="W293" s="3"/>
      <c r="X293" s="3"/>
      <c r="Y293" s="3"/>
      <c r="AA293" s="1444" t="s">
        <v>2685</v>
      </c>
      <c r="AB293" s="1376"/>
      <c r="AC293" s="1376"/>
      <c r="AD293" s="1376"/>
      <c r="AE293" s="1376"/>
      <c r="AF293" s="1376"/>
      <c r="AG293" s="1364"/>
      <c r="AH293" s="1364"/>
      <c r="AI293" s="1364"/>
      <c r="AJ293" s="1364"/>
      <c r="AK293" s="1364"/>
      <c r="BN293" s="34"/>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 customHeight="1">
      <c r="B295" s="3" t="s">
        <v>324</v>
      </c>
      <c r="C295" s="3"/>
      <c r="D295" s="3"/>
      <c r="E295" s="3"/>
      <c r="F295" s="3"/>
      <c r="H295" s="1487" t="s">
        <v>2687</v>
      </c>
      <c r="I295" s="1364"/>
      <c r="J295" s="1364"/>
      <c r="K295" s="1364"/>
      <c r="L295" s="1364"/>
      <c r="M295" s="1364"/>
      <c r="N295" s="1364"/>
      <c r="O295" s="1364"/>
      <c r="P295" s="1364"/>
      <c r="Q295" s="1364"/>
      <c r="R295" s="1364"/>
      <c r="T295" s="3" t="s">
        <v>365</v>
      </c>
      <c r="V295" s="3"/>
      <c r="W295" s="3"/>
      <c r="X295" s="3"/>
      <c r="Y295" s="3"/>
      <c r="AA295" s="1364" t="s">
        <v>2725</v>
      </c>
      <c r="AB295" s="1364"/>
      <c r="AC295" s="1364"/>
      <c r="AD295" s="1364"/>
      <c r="AE295" s="1364"/>
      <c r="AF295" s="1364"/>
      <c r="AG295" s="1364"/>
      <c r="AH295" s="1364"/>
      <c r="AI295" s="1364"/>
      <c r="AJ295" s="1364"/>
      <c r="AK295" s="1364"/>
      <c r="BN295" s="34"/>
    </row>
    <row r="296" spans="2:66" ht="12.9" customHeight="1">
      <c r="B296" s="3" t="s">
        <v>479</v>
      </c>
      <c r="C296" s="3"/>
      <c r="D296" s="3"/>
      <c r="E296" s="3"/>
      <c r="F296" s="3"/>
      <c r="H296" s="1444" t="s">
        <v>2688</v>
      </c>
      <c r="I296" s="1376"/>
      <c r="J296" s="1376"/>
      <c r="K296" s="1376"/>
      <c r="L296" s="1376"/>
      <c r="M296" s="1376"/>
      <c r="N296" s="1376"/>
      <c r="O296" s="1376"/>
      <c r="P296" s="1376"/>
      <c r="Q296" s="1376"/>
      <c r="R296" s="1376"/>
      <c r="T296" s="3" t="s">
        <v>479</v>
      </c>
      <c r="V296" s="3"/>
      <c r="W296" s="3"/>
      <c r="X296" s="3"/>
      <c r="Y296" s="3"/>
      <c r="AA296" s="1376" t="s">
        <v>2726</v>
      </c>
      <c r="AB296" s="1376"/>
      <c r="AC296" s="1376"/>
      <c r="AD296" s="1376"/>
      <c r="AE296" s="1376"/>
      <c r="AF296" s="1376"/>
      <c r="AG296" s="1376"/>
      <c r="AH296" s="1376"/>
      <c r="AI296" s="1376"/>
      <c r="AJ296" s="1376"/>
      <c r="AK296" s="1376"/>
      <c r="BN296" s="34"/>
    </row>
    <row r="297" spans="2:66" ht="12.9" customHeight="1">
      <c r="B297" s="3" t="s">
        <v>480</v>
      </c>
      <c r="C297" s="3"/>
      <c r="D297" s="3"/>
      <c r="E297" s="3"/>
      <c r="F297" s="3"/>
      <c r="H297" s="1444" t="s">
        <v>2689</v>
      </c>
      <c r="I297" s="1376"/>
      <c r="J297" s="1376"/>
      <c r="K297" s="1376"/>
      <c r="L297" s="1376"/>
      <c r="M297" s="1376"/>
      <c r="N297" s="1376"/>
      <c r="O297" s="1376"/>
      <c r="P297" s="1376"/>
      <c r="Q297" s="1376"/>
      <c r="R297" s="1376"/>
      <c r="T297" s="3" t="s">
        <v>75</v>
      </c>
      <c r="V297" s="3"/>
      <c r="W297" s="3"/>
      <c r="X297" s="3"/>
      <c r="Y297" s="3"/>
      <c r="AA297" s="1376" t="s">
        <v>2701</v>
      </c>
      <c r="AB297" s="1376"/>
      <c r="AC297" s="1376"/>
      <c r="AD297" s="1376"/>
      <c r="AE297" s="1376"/>
      <c r="AF297" s="1376"/>
      <c r="AG297" s="1376"/>
      <c r="AH297" s="1376"/>
      <c r="AI297" s="1376"/>
      <c r="AJ297" s="1376"/>
      <c r="AK297" s="1376"/>
      <c r="BN297" s="34"/>
    </row>
    <row r="298" spans="2:66" ht="12.9" customHeight="1">
      <c r="B298" s="3" t="s">
        <v>87</v>
      </c>
      <c r="C298" s="3"/>
      <c r="D298" s="3"/>
      <c r="E298" s="3"/>
      <c r="F298" s="3"/>
      <c r="H298" s="1444" t="s">
        <v>2690</v>
      </c>
      <c r="I298" s="1376"/>
      <c r="J298" s="1376"/>
      <c r="K298" s="1376"/>
      <c r="L298" s="1376"/>
      <c r="M298" s="1376"/>
      <c r="N298" s="1376"/>
      <c r="O298" s="1376"/>
      <c r="P298" s="1376"/>
      <c r="Q298" s="1376"/>
      <c r="R298" s="1376"/>
      <c r="T298" s="3" t="s">
        <v>87</v>
      </c>
      <c r="V298" s="3"/>
      <c r="W298" s="3"/>
      <c r="X298" s="3"/>
      <c r="Y298" s="3"/>
      <c r="AA298" s="1376" t="s">
        <v>2727</v>
      </c>
      <c r="AB298" s="1376"/>
      <c r="AC298" s="1376"/>
      <c r="AD298" s="1376"/>
      <c r="AE298" s="1376"/>
      <c r="AF298" s="1376"/>
      <c r="AG298" s="1376"/>
      <c r="AH298" s="1376"/>
      <c r="AI298" s="1376"/>
      <c r="AJ298" s="1376"/>
      <c r="AK298" s="1376"/>
      <c r="BN298" s="34"/>
    </row>
    <row r="299" spans="2:66" ht="12.9" customHeight="1">
      <c r="B299" s="3" t="s">
        <v>88</v>
      </c>
      <c r="C299" s="3"/>
      <c r="D299" s="3"/>
      <c r="E299" s="3"/>
      <c r="F299" s="3"/>
      <c r="G299" s="3"/>
      <c r="H299" s="1522" t="s">
        <v>2691</v>
      </c>
      <c r="I299" s="1522"/>
      <c r="J299" s="1522"/>
      <c r="K299" s="1522"/>
      <c r="L299" s="1522"/>
      <c r="M299" s="1522"/>
      <c r="N299" s="4" t="s">
        <v>207</v>
      </c>
      <c r="O299" s="4"/>
      <c r="P299" s="1520"/>
      <c r="Q299" s="1520"/>
      <c r="R299" s="1520"/>
      <c r="S299" s="3"/>
      <c r="T299" s="3" t="s">
        <v>88</v>
      </c>
      <c r="V299" s="3"/>
      <c r="W299" s="3"/>
      <c r="X299" s="3"/>
      <c r="Y299" s="3"/>
      <c r="AA299" s="1522" t="s">
        <v>2728</v>
      </c>
      <c r="AB299" s="1522"/>
      <c r="AC299" s="1522"/>
      <c r="AD299" s="1522"/>
      <c r="AE299" s="1522"/>
      <c r="AF299" s="1522"/>
      <c r="AG299" s="4" t="s">
        <v>207</v>
      </c>
      <c r="AH299" s="4"/>
      <c r="AI299" s="1520"/>
      <c r="AJ299" s="1520"/>
      <c r="AK299" s="1520"/>
      <c r="BN299" s="34"/>
    </row>
    <row r="300" spans="2:66" ht="12.9" customHeight="1">
      <c r="B300" s="3" t="s">
        <v>89</v>
      </c>
      <c r="C300" s="3"/>
      <c r="D300" s="3"/>
      <c r="E300" s="3"/>
      <c r="F300" s="3"/>
      <c r="G300" s="3"/>
      <c r="H300" s="1396"/>
      <c r="I300" s="1396"/>
      <c r="J300" s="1396"/>
      <c r="K300" s="1396"/>
      <c r="L300" s="1396"/>
      <c r="M300" s="1396"/>
      <c r="N300" s="4"/>
      <c r="O300" s="4"/>
      <c r="P300" s="35"/>
      <c r="Q300" s="35"/>
      <c r="R300" s="35"/>
      <c r="S300" s="3"/>
      <c r="T300" s="3" t="s">
        <v>89</v>
      </c>
      <c r="V300" s="3"/>
      <c r="W300" s="3"/>
      <c r="X300" s="3"/>
      <c r="Y300" s="3"/>
      <c r="AA300" s="1396"/>
      <c r="AB300" s="1396"/>
      <c r="AC300" s="1396"/>
      <c r="AD300" s="1396"/>
      <c r="AE300" s="1396"/>
      <c r="AF300" s="1396"/>
      <c r="AG300" s="4"/>
      <c r="AH300" s="4"/>
      <c r="AI300" s="35"/>
      <c r="AJ300" s="35"/>
      <c r="AK300" s="35"/>
      <c r="BN300" s="34"/>
    </row>
    <row r="301" spans="2:66" ht="12.9" customHeight="1">
      <c r="B301" s="3" t="s">
        <v>76</v>
      </c>
      <c r="C301" s="3"/>
      <c r="D301" s="3"/>
      <c r="E301" s="3"/>
      <c r="F301" s="3"/>
      <c r="G301" s="3"/>
      <c r="H301" s="1376" t="s">
        <v>2692</v>
      </c>
      <c r="I301" s="1376"/>
      <c r="J301" s="1376"/>
      <c r="K301" s="1376"/>
      <c r="L301" s="1376"/>
      <c r="M301" s="1376"/>
      <c r="N301" s="1364"/>
      <c r="O301" s="1364"/>
      <c r="P301" s="1364"/>
      <c r="Q301" s="1364"/>
      <c r="R301" s="1364"/>
      <c r="S301" s="3"/>
      <c r="T301" s="3" t="s">
        <v>76</v>
      </c>
      <c r="V301" s="3"/>
      <c r="W301" s="3"/>
      <c r="X301" s="3"/>
      <c r="Y301" s="3"/>
      <c r="AA301" s="1376" t="s">
        <v>2729</v>
      </c>
      <c r="AB301" s="1376"/>
      <c r="AC301" s="1376"/>
      <c r="AD301" s="1376"/>
      <c r="AE301" s="1376"/>
      <c r="AF301" s="1376"/>
      <c r="AG301" s="1364"/>
      <c r="AH301" s="1364"/>
      <c r="AI301" s="1364"/>
      <c r="AJ301" s="1364"/>
      <c r="AK301" s="1364"/>
      <c r="BN301" s="34"/>
    </row>
    <row r="302" spans="2:66" ht="12.9" customHeight="1">
      <c r="BN302" s="34"/>
    </row>
    <row r="303" spans="2:66" ht="12.9" customHeight="1">
      <c r="B303" s="3" t="s">
        <v>77</v>
      </c>
      <c r="C303" s="3"/>
      <c r="D303" s="3"/>
      <c r="E303" s="3"/>
      <c r="F303" s="3"/>
      <c r="H303" s="1364" t="s">
        <v>2693</v>
      </c>
      <c r="I303" s="1364"/>
      <c r="J303" s="1364"/>
      <c r="K303" s="1364"/>
      <c r="L303" s="1364"/>
      <c r="M303" s="1364"/>
      <c r="N303" s="1364"/>
      <c r="O303" s="1364"/>
      <c r="P303" s="1364"/>
      <c r="Q303" s="1364"/>
      <c r="R303" s="1364"/>
      <c r="T303" s="4" t="s">
        <v>890</v>
      </c>
      <c r="V303" s="3"/>
      <c r="W303" s="3"/>
      <c r="X303" s="3"/>
      <c r="Y303" s="3"/>
      <c r="AA303" s="1364"/>
      <c r="AB303" s="1364"/>
      <c r="AC303" s="1364"/>
      <c r="AD303" s="1364"/>
      <c r="AE303" s="1364"/>
      <c r="AF303" s="1364"/>
      <c r="AG303" s="1364"/>
      <c r="AH303" s="1364"/>
      <c r="AI303" s="1364"/>
      <c r="AJ303" s="1364"/>
      <c r="AK303" s="1364"/>
      <c r="BN303" s="34"/>
    </row>
    <row r="304" spans="2:66" ht="12.9" customHeight="1">
      <c r="B304" s="3" t="s">
        <v>479</v>
      </c>
      <c r="C304" s="3"/>
      <c r="D304" s="3"/>
      <c r="E304" s="3"/>
      <c r="F304" s="3"/>
      <c r="H304" s="1376" t="s">
        <v>2730</v>
      </c>
      <c r="I304" s="1376"/>
      <c r="J304" s="1376"/>
      <c r="K304" s="1376"/>
      <c r="L304" s="1376"/>
      <c r="M304" s="1376"/>
      <c r="N304" s="1376"/>
      <c r="O304" s="1376"/>
      <c r="P304" s="1376"/>
      <c r="Q304" s="1376"/>
      <c r="R304" s="1376"/>
      <c r="T304" s="3" t="s">
        <v>479</v>
      </c>
      <c r="V304" s="3"/>
      <c r="W304" s="3"/>
      <c r="X304" s="3"/>
      <c r="Y304" s="3"/>
      <c r="AA304" s="1376"/>
      <c r="AB304" s="1376"/>
      <c r="AC304" s="1376"/>
      <c r="AD304" s="1376"/>
      <c r="AE304" s="1376"/>
      <c r="AF304" s="1376"/>
      <c r="AG304" s="1376"/>
      <c r="AH304" s="1376"/>
      <c r="AI304" s="1376"/>
      <c r="AJ304" s="1376"/>
      <c r="AK304" s="1376"/>
      <c r="BN304" s="34"/>
    </row>
    <row r="305" spans="2:66" ht="12.9" customHeight="1">
      <c r="B305" s="3" t="s">
        <v>480</v>
      </c>
      <c r="C305" s="3"/>
      <c r="D305" s="3"/>
      <c r="E305" s="3"/>
      <c r="F305" s="3"/>
      <c r="H305" s="1376" t="s">
        <v>2731</v>
      </c>
      <c r="I305" s="1376"/>
      <c r="J305" s="1376"/>
      <c r="K305" s="1376"/>
      <c r="L305" s="1376"/>
      <c r="M305" s="1376"/>
      <c r="N305" s="1376"/>
      <c r="O305" s="1376"/>
      <c r="P305" s="1376"/>
      <c r="Q305" s="1376"/>
      <c r="R305" s="1376"/>
      <c r="T305" s="3" t="s">
        <v>75</v>
      </c>
      <c r="V305" s="3"/>
      <c r="W305" s="3"/>
      <c r="X305" s="3"/>
      <c r="Y305" s="3"/>
      <c r="AA305" s="1376"/>
      <c r="AB305" s="1376"/>
      <c r="AC305" s="1376"/>
      <c r="AD305" s="1376"/>
      <c r="AE305" s="1376"/>
      <c r="AF305" s="1376"/>
      <c r="AG305" s="1376"/>
      <c r="AH305" s="1376"/>
      <c r="AI305" s="1376"/>
      <c r="AJ305" s="1376"/>
      <c r="AK305" s="1376"/>
      <c r="BN305" s="34"/>
    </row>
    <row r="306" spans="2:66" ht="12.9" customHeight="1">
      <c r="B306" s="3" t="s">
        <v>87</v>
      </c>
      <c r="C306" s="3"/>
      <c r="D306" s="3"/>
      <c r="E306" s="3"/>
      <c r="F306" s="3"/>
      <c r="H306" s="1376" t="s">
        <v>2732</v>
      </c>
      <c r="I306" s="1376"/>
      <c r="J306" s="1376"/>
      <c r="K306" s="1376"/>
      <c r="L306" s="1376"/>
      <c r="M306" s="1376"/>
      <c r="N306" s="1376"/>
      <c r="O306" s="1376"/>
      <c r="P306" s="1376"/>
      <c r="Q306" s="1376"/>
      <c r="R306" s="1376"/>
      <c r="T306" s="3" t="s">
        <v>87</v>
      </c>
      <c r="V306" s="3"/>
      <c r="W306" s="3"/>
      <c r="X306" s="3"/>
      <c r="Y306" s="3"/>
      <c r="AA306" s="1376"/>
      <c r="AB306" s="1376"/>
      <c r="AC306" s="1376"/>
      <c r="AD306" s="1376"/>
      <c r="AE306" s="1376"/>
      <c r="AF306" s="1376"/>
      <c r="AG306" s="1376"/>
      <c r="AH306" s="1376"/>
      <c r="AI306" s="1376"/>
      <c r="AJ306" s="1376"/>
      <c r="AK306" s="1376"/>
      <c r="BN306" s="34"/>
    </row>
    <row r="307" spans="2:66" ht="12.9" customHeight="1">
      <c r="B307" s="3" t="s">
        <v>88</v>
      </c>
      <c r="C307" s="3"/>
      <c r="D307" s="3"/>
      <c r="E307" s="3"/>
      <c r="F307" s="3"/>
      <c r="G307" s="3"/>
      <c r="H307" s="1522" t="s">
        <v>2733</v>
      </c>
      <c r="I307" s="1522"/>
      <c r="J307" s="1522"/>
      <c r="K307" s="1522"/>
      <c r="L307" s="1522"/>
      <c r="M307" s="1522"/>
      <c r="N307" s="4" t="s">
        <v>207</v>
      </c>
      <c r="O307" s="4"/>
      <c r="P307" s="1520"/>
      <c r="Q307" s="1520"/>
      <c r="R307" s="1520"/>
      <c r="S307" s="3"/>
      <c r="T307" s="3" t="s">
        <v>88</v>
      </c>
      <c r="V307" s="3"/>
      <c r="W307" s="3"/>
      <c r="X307" s="3"/>
      <c r="Y307" s="3"/>
      <c r="AA307" s="1522"/>
      <c r="AB307" s="1522"/>
      <c r="AC307" s="1522"/>
      <c r="AD307" s="1522"/>
      <c r="AE307" s="1522"/>
      <c r="AF307" s="1522"/>
      <c r="AG307" s="4" t="s">
        <v>207</v>
      </c>
      <c r="AH307" s="4"/>
      <c r="AI307" s="1520"/>
      <c r="AJ307" s="1520"/>
      <c r="AK307" s="1520"/>
      <c r="BN307" s="34"/>
    </row>
    <row r="308" spans="2:66" ht="12.9" customHeight="1">
      <c r="B308" s="3" t="s">
        <v>89</v>
      </c>
      <c r="C308" s="3"/>
      <c r="D308" s="3"/>
      <c r="E308" s="3"/>
      <c r="F308" s="3"/>
      <c r="G308" s="3"/>
      <c r="H308" s="1396"/>
      <c r="I308" s="1396"/>
      <c r="J308" s="1396"/>
      <c r="K308" s="1396"/>
      <c r="L308" s="1396"/>
      <c r="M308" s="1396"/>
      <c r="N308" s="4"/>
      <c r="O308" s="4"/>
      <c r="P308" s="35"/>
      <c r="Q308" s="35"/>
      <c r="R308" s="35"/>
      <c r="S308" s="3"/>
      <c r="T308" s="3" t="s">
        <v>89</v>
      </c>
      <c r="V308" s="3"/>
      <c r="W308" s="3"/>
      <c r="X308" s="3"/>
      <c r="Y308" s="3"/>
      <c r="AA308" s="1396"/>
      <c r="AB308" s="1396"/>
      <c r="AC308" s="1396"/>
      <c r="AD308" s="1396"/>
      <c r="AE308" s="1396"/>
      <c r="AF308" s="1396"/>
      <c r="AG308" s="4"/>
      <c r="AH308" s="4"/>
      <c r="AI308" s="35"/>
      <c r="AJ308" s="35"/>
      <c r="AK308" s="35"/>
      <c r="BN308" s="34"/>
    </row>
    <row r="309" spans="2:66" ht="12.9" customHeight="1">
      <c r="B309" s="3" t="s">
        <v>76</v>
      </c>
      <c r="C309" s="3"/>
      <c r="D309" s="3"/>
      <c r="E309" s="3"/>
      <c r="F309" s="3"/>
      <c r="G309" s="3"/>
      <c r="H309" s="1376" t="s">
        <v>2734</v>
      </c>
      <c r="I309" s="1376"/>
      <c r="J309" s="1376"/>
      <c r="K309" s="1376"/>
      <c r="L309" s="1376"/>
      <c r="M309" s="1376"/>
      <c r="N309" s="1364"/>
      <c r="O309" s="1364"/>
      <c r="P309" s="1364"/>
      <c r="Q309" s="1364"/>
      <c r="R309" s="1364"/>
      <c r="S309" s="3"/>
      <c r="T309" s="3" t="s">
        <v>76</v>
      </c>
      <c r="V309" s="3"/>
      <c r="W309" s="3"/>
      <c r="X309" s="3"/>
      <c r="Y309" s="3"/>
      <c r="AA309" s="1376"/>
      <c r="AB309" s="1376"/>
      <c r="AC309" s="1376"/>
      <c r="AD309" s="1376"/>
      <c r="AE309" s="1376"/>
      <c r="AF309" s="1376"/>
      <c r="AG309" s="1364"/>
      <c r="AH309" s="1364"/>
      <c r="AI309" s="1364"/>
      <c r="AJ309" s="1364"/>
      <c r="AK309" s="1364"/>
      <c r="BN309" s="34"/>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 customHeight="1">
      <c r="B311" s="4" t="s">
        <v>922</v>
      </c>
      <c r="C311" s="3"/>
      <c r="D311" s="3"/>
      <c r="E311" s="3"/>
      <c r="F311" s="3"/>
      <c r="H311" s="1487" t="s">
        <v>2693</v>
      </c>
      <c r="I311" s="1364"/>
      <c r="J311" s="1364"/>
      <c r="K311" s="1364"/>
      <c r="L311" s="1364"/>
      <c r="M311" s="1364"/>
      <c r="N311" s="1364"/>
      <c r="O311" s="1364"/>
      <c r="P311" s="1364"/>
      <c r="Q311" s="1364"/>
      <c r="R311" s="1364"/>
      <c r="S311" s="3"/>
      <c r="T311" s="3" t="s">
        <v>366</v>
      </c>
      <c r="V311" s="3"/>
      <c r="W311" s="3"/>
      <c r="X311" s="3"/>
      <c r="Y311" s="3"/>
      <c r="AA311" s="1364" t="s">
        <v>2705</v>
      </c>
      <c r="AB311" s="1364"/>
      <c r="AC311" s="1364"/>
      <c r="AD311" s="1364"/>
      <c r="AE311" s="1364"/>
      <c r="AF311" s="1364"/>
      <c r="AG311" s="1364"/>
      <c r="AH311" s="1364"/>
      <c r="AI311" s="1364"/>
      <c r="AJ311" s="1364"/>
      <c r="AK311" s="1364"/>
      <c r="BN311" s="34"/>
    </row>
    <row r="312" spans="2:66" ht="12.9" customHeight="1">
      <c r="B312" s="3" t="s">
        <v>479</v>
      </c>
      <c r="C312" s="3"/>
      <c r="D312" s="3"/>
      <c r="E312" s="3"/>
      <c r="F312" s="3"/>
      <c r="H312" s="1376" t="s">
        <v>2730</v>
      </c>
      <c r="I312" s="1376"/>
      <c r="J312" s="1376"/>
      <c r="K312" s="1376"/>
      <c r="L312" s="1376"/>
      <c r="M312" s="1376"/>
      <c r="N312" s="1376"/>
      <c r="O312" s="1376"/>
      <c r="P312" s="1376"/>
      <c r="Q312" s="1376"/>
      <c r="R312" s="1376"/>
      <c r="S312" s="3"/>
      <c r="T312" s="3" t="s">
        <v>479</v>
      </c>
      <c r="V312" s="3"/>
      <c r="W312" s="3"/>
      <c r="X312" s="3"/>
      <c r="Y312" s="3"/>
      <c r="AA312" s="1376" t="s">
        <v>2706</v>
      </c>
      <c r="AB312" s="1376"/>
      <c r="AC312" s="1376"/>
      <c r="AD312" s="1376"/>
      <c r="AE312" s="1376"/>
      <c r="AF312" s="1376"/>
      <c r="AG312" s="1376"/>
      <c r="AH312" s="1376"/>
      <c r="AI312" s="1376"/>
      <c r="AJ312" s="1376"/>
      <c r="AK312" s="1376"/>
      <c r="BN312" s="34"/>
    </row>
    <row r="313" spans="2:66" ht="12.9" customHeight="1">
      <c r="B313" s="3" t="s">
        <v>480</v>
      </c>
      <c r="C313" s="3"/>
      <c r="D313" s="3"/>
      <c r="E313" s="3"/>
      <c r="F313" s="3"/>
      <c r="H313" s="1376" t="s">
        <v>2731</v>
      </c>
      <c r="I313" s="1376"/>
      <c r="J313" s="1376"/>
      <c r="K313" s="1376"/>
      <c r="L313" s="1376"/>
      <c r="M313" s="1376"/>
      <c r="N313" s="1376"/>
      <c r="O313" s="1376"/>
      <c r="P313" s="1376"/>
      <c r="Q313" s="1376"/>
      <c r="R313" s="1376"/>
      <c r="S313" s="3"/>
      <c r="T313" s="3" t="s">
        <v>75</v>
      </c>
      <c r="V313" s="3"/>
      <c r="W313" s="3"/>
      <c r="X313" s="3"/>
      <c r="Y313" s="3"/>
      <c r="AA313" s="1376" t="s">
        <v>2707</v>
      </c>
      <c r="AB313" s="1376"/>
      <c r="AC313" s="1376"/>
      <c r="AD313" s="1376"/>
      <c r="AE313" s="1376"/>
      <c r="AF313" s="1376"/>
      <c r="AG313" s="1376"/>
      <c r="AH313" s="1376"/>
      <c r="AI313" s="1376"/>
      <c r="AJ313" s="1376"/>
      <c r="AK313" s="1376"/>
      <c r="BN313" s="34"/>
    </row>
    <row r="314" spans="2:66" ht="12.9" customHeight="1">
      <c r="B314" s="3" t="s">
        <v>87</v>
      </c>
      <c r="C314" s="3"/>
      <c r="D314" s="3"/>
      <c r="E314" s="3"/>
      <c r="F314" s="3"/>
      <c r="H314" s="1376" t="s">
        <v>2732</v>
      </c>
      <c r="I314" s="1376"/>
      <c r="J314" s="1376"/>
      <c r="K314" s="1376"/>
      <c r="L314" s="1376"/>
      <c r="M314" s="1376"/>
      <c r="N314" s="1376"/>
      <c r="O314" s="1376"/>
      <c r="P314" s="1376"/>
      <c r="Q314" s="1376"/>
      <c r="R314" s="1376"/>
      <c r="S314" s="3"/>
      <c r="T314" s="3" t="s">
        <v>87</v>
      </c>
      <c r="V314" s="3"/>
      <c r="W314" s="3"/>
      <c r="X314" s="3"/>
      <c r="Y314" s="3"/>
      <c r="AA314" s="1376" t="s">
        <v>2708</v>
      </c>
      <c r="AB314" s="1376"/>
      <c r="AC314" s="1376"/>
      <c r="AD314" s="1376"/>
      <c r="AE314" s="1376"/>
      <c r="AF314" s="1376"/>
      <c r="AG314" s="1376"/>
      <c r="AH314" s="1376"/>
      <c r="AI314" s="1376"/>
      <c r="AJ314" s="1376"/>
      <c r="AK314" s="1376"/>
      <c r="BN314" s="34"/>
    </row>
    <row r="315" spans="2:66" ht="12.9" customHeight="1">
      <c r="B315" s="3" t="s">
        <v>88</v>
      </c>
      <c r="C315" s="3"/>
      <c r="D315" s="3"/>
      <c r="E315" s="3"/>
      <c r="F315" s="3"/>
      <c r="G315" s="3"/>
      <c r="H315" s="1445" t="s">
        <v>2733</v>
      </c>
      <c r="I315" s="1522"/>
      <c r="J315" s="1522"/>
      <c r="K315" s="1522"/>
      <c r="L315" s="1522"/>
      <c r="M315" s="1522"/>
      <c r="N315" s="4" t="s">
        <v>207</v>
      </c>
      <c r="O315" s="4"/>
      <c r="P315" s="1520"/>
      <c r="Q315" s="1520"/>
      <c r="R315" s="1520"/>
      <c r="S315" s="3"/>
      <c r="T315" s="3" t="s">
        <v>88</v>
      </c>
      <c r="V315" s="3"/>
      <c r="W315" s="3"/>
      <c r="X315" s="3"/>
      <c r="Y315" s="3"/>
      <c r="AA315" s="1522" t="s">
        <v>2709</v>
      </c>
      <c r="AB315" s="1522"/>
      <c r="AC315" s="1522"/>
      <c r="AD315" s="1522"/>
      <c r="AE315" s="1522"/>
      <c r="AF315" s="1522"/>
      <c r="AG315" s="4" t="s">
        <v>207</v>
      </c>
      <c r="AH315" s="4"/>
      <c r="AI315" s="1520"/>
      <c r="AJ315" s="1520"/>
      <c r="AK315" s="1520"/>
      <c r="BN315" s="34"/>
    </row>
    <row r="316" spans="2:66" ht="12.9" customHeight="1">
      <c r="B316" s="3" t="s">
        <v>89</v>
      </c>
      <c r="C316" s="3"/>
      <c r="D316" s="3"/>
      <c r="E316" s="3"/>
      <c r="F316" s="3"/>
      <c r="G316" s="3"/>
      <c r="H316" s="1396"/>
      <c r="I316" s="1396"/>
      <c r="J316" s="1396"/>
      <c r="K316" s="1396"/>
      <c r="L316" s="1396"/>
      <c r="M316" s="1396"/>
      <c r="N316" s="4"/>
      <c r="O316" s="4"/>
      <c r="P316" s="35"/>
      <c r="Q316" s="35"/>
      <c r="R316" s="35"/>
      <c r="S316" s="3"/>
      <c r="T316" s="3" t="s">
        <v>89</v>
      </c>
      <c r="V316" s="3"/>
      <c r="W316" s="3"/>
      <c r="X316" s="3"/>
      <c r="Y316" s="3"/>
      <c r="AA316" s="1396"/>
      <c r="AB316" s="1396"/>
      <c r="AC316" s="1396"/>
      <c r="AD316" s="1396"/>
      <c r="AE316" s="1396"/>
      <c r="AF316" s="1396"/>
      <c r="AG316" s="4"/>
      <c r="AH316" s="4"/>
      <c r="AI316" s="35"/>
      <c r="AJ316" s="35"/>
      <c r="AK316" s="35"/>
      <c r="BN316" s="34"/>
    </row>
    <row r="317" spans="2:66" ht="12.9" customHeight="1">
      <c r="B317" s="3" t="s">
        <v>76</v>
      </c>
      <c r="C317" s="3"/>
      <c r="D317" s="3"/>
      <c r="E317" s="3"/>
      <c r="F317" s="3"/>
      <c r="G317" s="3"/>
      <c r="H317" s="1444" t="s">
        <v>2734</v>
      </c>
      <c r="I317" s="1376"/>
      <c r="J317" s="1376"/>
      <c r="K317" s="1376"/>
      <c r="L317" s="1376"/>
      <c r="M317" s="1376"/>
      <c r="N317" s="1364"/>
      <c r="O317" s="1364"/>
      <c r="P317" s="1364"/>
      <c r="Q317" s="1364"/>
      <c r="R317" s="1364"/>
      <c r="S317" s="3"/>
      <c r="T317" s="3" t="s">
        <v>76</v>
      </c>
      <c r="V317" s="3"/>
      <c r="W317" s="3"/>
      <c r="X317" s="3"/>
      <c r="Y317" s="3"/>
      <c r="AA317" s="1376" t="s">
        <v>2710</v>
      </c>
      <c r="AB317" s="1376"/>
      <c r="AC317" s="1376"/>
      <c r="AD317" s="1376"/>
      <c r="AE317" s="1376"/>
      <c r="AF317" s="1376"/>
      <c r="AG317" s="1364"/>
      <c r="AH317" s="1364"/>
      <c r="AI317" s="1364"/>
      <c r="AJ317" s="1364"/>
      <c r="AK317" s="1364"/>
      <c r="BN317" s="34"/>
    </row>
    <row r="318" spans="2:66" ht="12.9" customHeight="1">
      <c r="BN318" s="34"/>
    </row>
    <row r="319" spans="2:66" ht="12.9" customHeight="1">
      <c r="B319" s="4" t="s">
        <v>923</v>
      </c>
      <c r="C319" s="3"/>
      <c r="D319" s="3"/>
      <c r="E319" s="3"/>
      <c r="F319" s="3"/>
      <c r="H319" s="1487"/>
      <c r="I319" s="1364"/>
      <c r="J319" s="1364"/>
      <c r="K319" s="1364"/>
      <c r="L319" s="1364"/>
      <c r="M319" s="1364"/>
      <c r="N319" s="1364"/>
      <c r="O319" s="1364"/>
      <c r="P319" s="1364"/>
      <c r="Q319" s="1364"/>
      <c r="R319" s="1364"/>
      <c r="T319" s="3" t="s">
        <v>367</v>
      </c>
      <c r="V319" s="3"/>
      <c r="W319" s="3"/>
      <c r="X319" s="3"/>
      <c r="Y319" s="3"/>
      <c r="AA319" s="1364" t="s">
        <v>2693</v>
      </c>
      <c r="AB319" s="1364"/>
      <c r="AC319" s="1364"/>
      <c r="AD319" s="1364"/>
      <c r="AE319" s="1364"/>
      <c r="AF319" s="1364"/>
      <c r="AG319" s="1364"/>
      <c r="AH319" s="1364"/>
      <c r="AI319" s="1364"/>
      <c r="AJ319" s="1364"/>
      <c r="AK319" s="1364"/>
      <c r="BN319" s="34"/>
    </row>
    <row r="320" spans="2:66" ht="12.9" customHeight="1">
      <c r="B320" s="3" t="s">
        <v>479</v>
      </c>
      <c r="C320" s="3"/>
      <c r="D320" s="3"/>
      <c r="E320" s="3"/>
      <c r="F320" s="3"/>
      <c r="H320" s="1444"/>
      <c r="I320" s="1376"/>
      <c r="J320" s="1376"/>
      <c r="K320" s="1376"/>
      <c r="L320" s="1376"/>
      <c r="M320" s="1376"/>
      <c r="N320" s="1376"/>
      <c r="O320" s="1376"/>
      <c r="P320" s="1376"/>
      <c r="Q320" s="1376"/>
      <c r="R320" s="1376"/>
      <c r="T320" s="3" t="s">
        <v>479</v>
      </c>
      <c r="V320" s="3"/>
      <c r="W320" s="3"/>
      <c r="X320" s="3"/>
      <c r="Y320" s="3"/>
      <c r="AA320" s="1376" t="s">
        <v>2694</v>
      </c>
      <c r="AB320" s="1376"/>
      <c r="AC320" s="1376"/>
      <c r="AD320" s="1376"/>
      <c r="AE320" s="1376"/>
      <c r="AF320" s="1376"/>
      <c r="AG320" s="1376"/>
      <c r="AH320" s="1376"/>
      <c r="AI320" s="1376"/>
      <c r="AJ320" s="1376"/>
      <c r="AK320" s="1376"/>
      <c r="BN320" s="34"/>
    </row>
    <row r="321" spans="2:66" ht="12.9" customHeight="1">
      <c r="B321" s="3" t="s">
        <v>480</v>
      </c>
      <c r="C321" s="3"/>
      <c r="D321" s="3"/>
      <c r="E321" s="3"/>
      <c r="F321" s="3"/>
      <c r="H321" s="1444"/>
      <c r="I321" s="1376"/>
      <c r="J321" s="1376"/>
      <c r="K321" s="1376"/>
      <c r="L321" s="1376"/>
      <c r="M321" s="1376"/>
      <c r="N321" s="1376"/>
      <c r="O321" s="1376"/>
      <c r="P321" s="1376"/>
      <c r="Q321" s="1376"/>
      <c r="R321" s="1376"/>
      <c r="T321" s="3" t="s">
        <v>75</v>
      </c>
      <c r="V321" s="3"/>
      <c r="W321" s="3"/>
      <c r="X321" s="3"/>
      <c r="Y321" s="3"/>
      <c r="AA321" s="1376" t="s">
        <v>2695</v>
      </c>
      <c r="AB321" s="1376"/>
      <c r="AC321" s="1376"/>
      <c r="AD321" s="1376"/>
      <c r="AE321" s="1376"/>
      <c r="AF321" s="1376"/>
      <c r="AG321" s="1376"/>
      <c r="AH321" s="1376"/>
      <c r="AI321" s="1376"/>
      <c r="AJ321" s="1376"/>
      <c r="AK321" s="1376"/>
      <c r="BN321" s="34"/>
    </row>
    <row r="322" spans="2:66" ht="12.9" customHeight="1">
      <c r="B322" s="3" t="s">
        <v>87</v>
      </c>
      <c r="C322" s="3"/>
      <c r="D322" s="3"/>
      <c r="E322" s="3"/>
      <c r="F322" s="3"/>
      <c r="H322" s="1444"/>
      <c r="I322" s="1376"/>
      <c r="J322" s="1376"/>
      <c r="K322" s="1376"/>
      <c r="L322" s="1376"/>
      <c r="M322" s="1376"/>
      <c r="N322" s="1376"/>
      <c r="O322" s="1376"/>
      <c r="P322" s="1376"/>
      <c r="Q322" s="1376"/>
      <c r="R322" s="1376"/>
      <c r="T322" s="3" t="s">
        <v>87</v>
      </c>
      <c r="V322" s="3"/>
      <c r="W322" s="3"/>
      <c r="X322" s="3"/>
      <c r="Y322" s="3"/>
      <c r="AA322" s="1376" t="s">
        <v>2696</v>
      </c>
      <c r="AB322" s="1376"/>
      <c r="AC322" s="1376"/>
      <c r="AD322" s="1376"/>
      <c r="AE322" s="1376"/>
      <c r="AF322" s="1376"/>
      <c r="AG322" s="1376"/>
      <c r="AH322" s="1376"/>
      <c r="AI322" s="1376"/>
      <c r="AJ322" s="1376"/>
      <c r="AK322" s="1376"/>
      <c r="BN322" s="34"/>
    </row>
    <row r="323" spans="2:66" ht="12.9" customHeight="1">
      <c r="B323" s="3" t="s">
        <v>88</v>
      </c>
      <c r="C323" s="3"/>
      <c r="D323" s="3"/>
      <c r="E323" s="3"/>
      <c r="F323" s="3"/>
      <c r="G323" s="3"/>
      <c r="H323" s="1445"/>
      <c r="I323" s="1522"/>
      <c r="J323" s="1522"/>
      <c r="K323" s="1522"/>
      <c r="L323" s="1522"/>
      <c r="M323" s="1522"/>
      <c r="N323" s="4" t="s">
        <v>207</v>
      </c>
      <c r="O323" s="4"/>
      <c r="P323" s="1520"/>
      <c r="Q323" s="1520"/>
      <c r="R323" s="1520"/>
      <c r="S323" s="3"/>
      <c r="T323" s="3" t="s">
        <v>88</v>
      </c>
      <c r="V323" s="3"/>
      <c r="W323" s="3"/>
      <c r="X323" s="3"/>
      <c r="Y323" s="3"/>
      <c r="AA323" s="1522" t="s">
        <v>2697</v>
      </c>
      <c r="AB323" s="1522"/>
      <c r="AC323" s="1522"/>
      <c r="AD323" s="1522"/>
      <c r="AE323" s="1522"/>
      <c r="AF323" s="1522"/>
      <c r="AG323" s="4" t="s">
        <v>207</v>
      </c>
      <c r="AH323" s="4"/>
      <c r="AI323" s="1520"/>
      <c r="AJ323" s="1520"/>
      <c r="AK323" s="1520"/>
    </row>
    <row r="324" spans="2:66" ht="12.9" customHeight="1">
      <c r="B324" s="3" t="s">
        <v>89</v>
      </c>
      <c r="C324" s="3"/>
      <c r="D324" s="3"/>
      <c r="E324" s="3"/>
      <c r="F324" s="3"/>
      <c r="G324" s="3"/>
      <c r="H324" s="1446"/>
      <c r="I324" s="1396"/>
      <c r="J324" s="1396"/>
      <c r="K324" s="1396"/>
      <c r="L324" s="1396"/>
      <c r="M324" s="1396"/>
      <c r="N324" s="4"/>
      <c r="O324" s="4"/>
      <c r="P324" s="35"/>
      <c r="Q324" s="35"/>
      <c r="R324" s="35"/>
      <c r="S324" s="3"/>
      <c r="T324" s="3" t="s">
        <v>89</v>
      </c>
      <c r="V324" s="3"/>
      <c r="W324" s="3"/>
      <c r="X324" s="3"/>
      <c r="Y324" s="3"/>
      <c r="AA324" s="1396"/>
      <c r="AB324" s="1396"/>
      <c r="AC324" s="1396"/>
      <c r="AD324" s="1396"/>
      <c r="AE324" s="1396"/>
      <c r="AF324" s="1396"/>
      <c r="AG324" s="4"/>
      <c r="AH324" s="4"/>
      <c r="AI324" s="35"/>
      <c r="AJ324" s="35"/>
      <c r="AK324" s="35"/>
    </row>
    <row r="325" spans="2:66" ht="12.9" customHeight="1">
      <c r="B325" s="3" t="s">
        <v>76</v>
      </c>
      <c r="C325" s="3"/>
      <c r="D325" s="3"/>
      <c r="E325" s="3"/>
      <c r="F325" s="3"/>
      <c r="G325" s="3"/>
      <c r="H325" s="1444"/>
      <c r="I325" s="1376"/>
      <c r="J325" s="1376"/>
      <c r="K325" s="1376"/>
      <c r="L325" s="1376"/>
      <c r="M325" s="1376"/>
      <c r="N325" s="1364"/>
      <c r="O325" s="1364"/>
      <c r="P325" s="1364"/>
      <c r="Q325" s="1364"/>
      <c r="R325" s="1364"/>
      <c r="S325" s="3"/>
      <c r="T325" s="3" t="s">
        <v>76</v>
      </c>
      <c r="V325" s="3"/>
      <c r="W325" s="3"/>
      <c r="X325" s="3"/>
      <c r="Y325" s="3"/>
      <c r="AA325" s="1376" t="s">
        <v>2698</v>
      </c>
      <c r="AB325" s="1376"/>
      <c r="AC325" s="1376"/>
      <c r="AD325" s="1376"/>
      <c r="AE325" s="1376"/>
      <c r="AF325" s="1376"/>
      <c r="AG325" s="1364"/>
      <c r="AH325" s="1364"/>
      <c r="AI325" s="1364"/>
      <c r="AJ325" s="1364"/>
      <c r="AK325" s="1364"/>
    </row>
    <row r="326" spans="2:66" ht="12.9" customHeight="1">
      <c r="B326" s="3"/>
      <c r="C326" s="3"/>
      <c r="D326" s="3"/>
      <c r="E326" s="3"/>
      <c r="F326" s="3"/>
      <c r="G326" s="3"/>
      <c r="P326" s="163"/>
      <c r="Q326" s="163"/>
      <c r="R326" s="163"/>
      <c r="S326" s="163"/>
      <c r="T326" s="163"/>
      <c r="U326" s="163"/>
      <c r="V326" s="4"/>
      <c r="W326" s="4"/>
      <c r="X326" s="35"/>
      <c r="Y326" s="35"/>
      <c r="Z326" s="35"/>
    </row>
    <row r="327" spans="2:66" ht="12.9" customHeight="1">
      <c r="B327" s="3" t="s">
        <v>368</v>
      </c>
      <c r="C327" s="3"/>
      <c r="D327" s="3"/>
      <c r="E327" s="3"/>
      <c r="F327" s="3"/>
      <c r="H327" s="1364" t="s">
        <v>2693</v>
      </c>
      <c r="I327" s="1364"/>
      <c r="J327" s="1364"/>
      <c r="K327" s="1364"/>
      <c r="L327" s="1364"/>
      <c r="M327" s="1364"/>
      <c r="N327" s="1364"/>
      <c r="O327" s="1364"/>
      <c r="P327" s="1364"/>
      <c r="Q327" s="1364"/>
      <c r="R327" s="1364"/>
      <c r="T327" s="3" t="s">
        <v>369</v>
      </c>
      <c r="V327" s="3"/>
      <c r="W327" s="3"/>
      <c r="X327" s="3"/>
      <c r="Y327" s="3"/>
      <c r="AA327" s="1364"/>
      <c r="AB327" s="1364"/>
      <c r="AC327" s="1364"/>
      <c r="AD327" s="1364"/>
      <c r="AE327" s="1364"/>
      <c r="AF327" s="1364"/>
      <c r="AG327" s="1364"/>
      <c r="AH327" s="1364"/>
      <c r="AI327" s="1364"/>
      <c r="AJ327" s="1364"/>
      <c r="AK327" s="1364"/>
    </row>
    <row r="328" spans="2:66" ht="12.9" customHeight="1">
      <c r="B328" s="3" t="s">
        <v>479</v>
      </c>
      <c r="C328" s="3"/>
      <c r="D328" s="3"/>
      <c r="E328" s="3"/>
      <c r="F328" s="3"/>
      <c r="H328" s="1376" t="s">
        <v>2694</v>
      </c>
      <c r="I328" s="1376"/>
      <c r="J328" s="1376"/>
      <c r="K328" s="1376"/>
      <c r="L328" s="1376"/>
      <c r="M328" s="1376"/>
      <c r="N328" s="1376"/>
      <c r="O328" s="1376"/>
      <c r="P328" s="1376"/>
      <c r="Q328" s="1376"/>
      <c r="R328" s="1376"/>
      <c r="T328" s="3" t="s">
        <v>479</v>
      </c>
      <c r="V328" s="3"/>
      <c r="W328" s="3"/>
      <c r="X328" s="3"/>
      <c r="Y328" s="3"/>
      <c r="AA328" s="1376"/>
      <c r="AB328" s="1376"/>
      <c r="AC328" s="1376"/>
      <c r="AD328" s="1376"/>
      <c r="AE328" s="1376"/>
      <c r="AF328" s="1376"/>
      <c r="AG328" s="1376"/>
      <c r="AH328" s="1376"/>
      <c r="AI328" s="1376"/>
      <c r="AJ328" s="1376"/>
      <c r="AK328" s="1376"/>
    </row>
    <row r="329" spans="2:66" ht="12.9" customHeight="1">
      <c r="B329" s="3" t="s">
        <v>480</v>
      </c>
      <c r="C329" s="3"/>
      <c r="D329" s="3"/>
      <c r="E329" s="3"/>
      <c r="F329" s="3"/>
      <c r="H329" s="1376" t="s">
        <v>2695</v>
      </c>
      <c r="I329" s="1376"/>
      <c r="J329" s="1376"/>
      <c r="K329" s="1376"/>
      <c r="L329" s="1376"/>
      <c r="M329" s="1376"/>
      <c r="N329" s="1376"/>
      <c r="O329" s="1376"/>
      <c r="P329" s="1376"/>
      <c r="Q329" s="1376"/>
      <c r="R329" s="1376"/>
      <c r="T329" s="3" t="s">
        <v>75</v>
      </c>
      <c r="V329" s="3"/>
      <c r="W329" s="3"/>
      <c r="X329" s="3"/>
      <c r="Y329" s="3"/>
      <c r="AA329" s="1376"/>
      <c r="AB329" s="1376"/>
      <c r="AC329" s="1376"/>
      <c r="AD329" s="1376"/>
      <c r="AE329" s="1376"/>
      <c r="AF329" s="1376"/>
      <c r="AG329" s="1376"/>
      <c r="AH329" s="1376"/>
      <c r="AI329" s="1376"/>
      <c r="AJ329" s="1376"/>
      <c r="AK329" s="1376"/>
    </row>
    <row r="330" spans="2:66" ht="12.9" customHeight="1">
      <c r="B330" s="3" t="s">
        <v>87</v>
      </c>
      <c r="C330" s="3"/>
      <c r="D330" s="3"/>
      <c r="E330" s="3"/>
      <c r="F330" s="3"/>
      <c r="H330" s="1376" t="s">
        <v>2696</v>
      </c>
      <c r="I330" s="1376"/>
      <c r="J330" s="1376"/>
      <c r="K330" s="1376"/>
      <c r="L330" s="1376"/>
      <c r="M330" s="1376"/>
      <c r="N330" s="1376"/>
      <c r="O330" s="1376"/>
      <c r="P330" s="1376"/>
      <c r="Q330" s="1376"/>
      <c r="R330" s="1376"/>
      <c r="T330" s="3" t="s">
        <v>87</v>
      </c>
      <c r="V330" s="3"/>
      <c r="W330" s="3"/>
      <c r="X330" s="3"/>
      <c r="Y330" s="3"/>
      <c r="AA330" s="1376"/>
      <c r="AB330" s="1376"/>
      <c r="AC330" s="1376"/>
      <c r="AD330" s="1376"/>
      <c r="AE330" s="1376"/>
      <c r="AF330" s="1376"/>
      <c r="AG330" s="1376"/>
      <c r="AH330" s="1376"/>
      <c r="AI330" s="1376"/>
      <c r="AJ330" s="1376"/>
      <c r="AK330" s="1376"/>
    </row>
    <row r="331" spans="2:66" ht="12.9" customHeight="1">
      <c r="B331" s="3" t="s">
        <v>88</v>
      </c>
      <c r="C331" s="3"/>
      <c r="D331" s="3"/>
      <c r="E331" s="3"/>
      <c r="F331" s="3"/>
      <c r="G331" s="3"/>
      <c r="H331" s="1522" t="s">
        <v>2697</v>
      </c>
      <c r="I331" s="1522"/>
      <c r="J331" s="1522"/>
      <c r="K331" s="1522"/>
      <c r="L331" s="1522"/>
      <c r="M331" s="1522"/>
      <c r="N331" s="4" t="s">
        <v>207</v>
      </c>
      <c r="O331" s="4"/>
      <c r="P331" s="1520"/>
      <c r="Q331" s="1520"/>
      <c r="R331" s="1520"/>
      <c r="S331" s="3"/>
      <c r="T331" s="3" t="s">
        <v>88</v>
      </c>
      <c r="V331" s="3"/>
      <c r="W331" s="3"/>
      <c r="X331" s="3"/>
      <c r="Y331" s="3"/>
      <c r="AA331" s="1522"/>
      <c r="AB331" s="1522"/>
      <c r="AC331" s="1522"/>
      <c r="AD331" s="1522"/>
      <c r="AE331" s="1522"/>
      <c r="AF331" s="1522"/>
      <c r="AG331" s="4" t="s">
        <v>207</v>
      </c>
      <c r="AH331" s="4"/>
      <c r="AI331" s="1520"/>
      <c r="AJ331" s="1520"/>
      <c r="AK331" s="1520"/>
    </row>
    <row r="332" spans="2:66" ht="12.9" customHeight="1">
      <c r="B332" s="3" t="s">
        <v>89</v>
      </c>
      <c r="C332" s="3"/>
      <c r="D332" s="3"/>
      <c r="E332" s="3"/>
      <c r="F332" s="3"/>
      <c r="G332" s="3"/>
      <c r="H332" s="1396"/>
      <c r="I332" s="1396"/>
      <c r="J332" s="1396"/>
      <c r="K332" s="1396"/>
      <c r="L332" s="1396"/>
      <c r="M332" s="1396"/>
      <c r="N332" s="4"/>
      <c r="O332" s="4"/>
      <c r="P332" s="35"/>
      <c r="Q332" s="35"/>
      <c r="R332" s="35"/>
      <c r="S332" s="3"/>
      <c r="T332" s="3" t="s">
        <v>89</v>
      </c>
      <c r="V332" s="3"/>
      <c r="W332" s="3"/>
      <c r="X332" s="3"/>
      <c r="Y332" s="3"/>
      <c r="AA332" s="1396"/>
      <c r="AB332" s="1396"/>
      <c r="AC332" s="1396"/>
      <c r="AD332" s="1396"/>
      <c r="AE332" s="1396"/>
      <c r="AF332" s="1396"/>
      <c r="AG332" s="4"/>
      <c r="AH332" s="4"/>
      <c r="AI332" s="35"/>
      <c r="AJ332" s="35"/>
      <c r="AK332" s="35"/>
    </row>
    <row r="333" spans="2:66" ht="12.9" customHeight="1">
      <c r="B333" s="3" t="s">
        <v>76</v>
      </c>
      <c r="C333" s="3"/>
      <c r="D333" s="3"/>
      <c r="E333" s="3"/>
      <c r="F333" s="3"/>
      <c r="G333" s="3"/>
      <c r="H333" s="1376" t="s">
        <v>2698</v>
      </c>
      <c r="I333" s="1376"/>
      <c r="J333" s="1376"/>
      <c r="K333" s="1376"/>
      <c r="L333" s="1376"/>
      <c r="M333" s="1376"/>
      <c r="N333" s="1364"/>
      <c r="O333" s="1364"/>
      <c r="P333" s="1364"/>
      <c r="Q333" s="1364"/>
      <c r="R333" s="1364"/>
      <c r="S333" s="3"/>
      <c r="T333" s="3" t="s">
        <v>76</v>
      </c>
      <c r="V333" s="3"/>
      <c r="W333" s="3"/>
      <c r="X333" s="3"/>
      <c r="Y333" s="3"/>
      <c r="AA333" s="1376"/>
      <c r="AB333" s="1376"/>
      <c r="AC333" s="1376"/>
      <c r="AD333" s="1376"/>
      <c r="AE333" s="1376"/>
      <c r="AF333" s="1376"/>
      <c r="AG333" s="1364"/>
      <c r="AH333" s="1364"/>
      <c r="AI333" s="1364"/>
      <c r="AJ333" s="1364"/>
      <c r="AK333" s="1364"/>
    </row>
    <row r="334" spans="2:66" ht="12.9" customHeight="1">
      <c r="B334" s="3"/>
      <c r="C334" s="3"/>
      <c r="D334" s="3"/>
      <c r="E334" s="3"/>
      <c r="F334" s="3"/>
      <c r="G334" s="3"/>
      <c r="P334" s="163"/>
      <c r="Q334" s="163"/>
      <c r="R334" s="163"/>
      <c r="S334" s="163"/>
      <c r="T334" s="163"/>
      <c r="U334" s="163"/>
      <c r="V334" s="4"/>
      <c r="W334" s="4"/>
      <c r="X334" s="35"/>
      <c r="Y334" s="35"/>
      <c r="Z334" s="35"/>
    </row>
    <row r="335" spans="2:66" ht="12.9" customHeight="1">
      <c r="B335" s="3" t="s">
        <v>330</v>
      </c>
      <c r="C335" s="3"/>
      <c r="D335" s="3"/>
      <c r="E335" s="3"/>
      <c r="F335" s="3"/>
      <c r="H335" s="1364" t="s">
        <v>2699</v>
      </c>
      <c r="I335" s="1364"/>
      <c r="J335" s="1364"/>
      <c r="K335" s="1364"/>
      <c r="L335" s="1364"/>
      <c r="M335" s="1364"/>
      <c r="N335" s="1364"/>
      <c r="O335" s="1364"/>
      <c r="P335" s="1364"/>
      <c r="Q335" s="1364"/>
      <c r="R335" s="1364"/>
      <c r="T335" s="218" t="s">
        <v>899</v>
      </c>
      <c r="V335" s="3"/>
      <c r="W335" s="3"/>
      <c r="X335" s="3"/>
      <c r="Y335" s="3"/>
      <c r="AA335" s="1487" t="s">
        <v>2735</v>
      </c>
      <c r="AB335" s="1364"/>
      <c r="AC335" s="1364"/>
      <c r="AD335" s="1364"/>
      <c r="AE335" s="1364"/>
      <c r="AF335" s="1364"/>
      <c r="AG335" s="1364"/>
      <c r="AH335" s="1364"/>
      <c r="AI335" s="1364"/>
      <c r="AJ335" s="1364"/>
      <c r="AK335" s="1364"/>
    </row>
    <row r="336" spans="2:66" ht="12.9" customHeight="1">
      <c r="B336" s="3" t="s">
        <v>479</v>
      </c>
      <c r="C336" s="3"/>
      <c r="D336" s="3"/>
      <c r="E336" s="3"/>
      <c r="F336" s="3"/>
      <c r="H336" s="1376" t="s">
        <v>2700</v>
      </c>
      <c r="I336" s="1376"/>
      <c r="J336" s="1376"/>
      <c r="K336" s="1376"/>
      <c r="L336" s="1376"/>
      <c r="M336" s="1376"/>
      <c r="N336" s="1376"/>
      <c r="O336" s="1376"/>
      <c r="P336" s="1376"/>
      <c r="Q336" s="1376"/>
      <c r="R336" s="1376"/>
      <c r="T336" s="3" t="s">
        <v>479</v>
      </c>
      <c r="V336" s="3"/>
      <c r="W336" s="3"/>
      <c r="X336" s="3"/>
      <c r="Y336" s="3"/>
      <c r="AA336" s="1444" t="s">
        <v>2736</v>
      </c>
      <c r="AB336" s="1376"/>
      <c r="AC336" s="1376"/>
      <c r="AD336" s="1376"/>
      <c r="AE336" s="1376"/>
      <c r="AF336" s="1376"/>
      <c r="AG336" s="1376"/>
      <c r="AH336" s="1376"/>
      <c r="AI336" s="1376"/>
      <c r="AJ336" s="1376"/>
      <c r="AK336" s="1376"/>
    </row>
    <row r="337" spans="1:66" ht="12.9" customHeight="1">
      <c r="B337" s="3" t="s">
        <v>75</v>
      </c>
      <c r="C337" s="3"/>
      <c r="D337" s="3"/>
      <c r="E337" s="3"/>
      <c r="F337" s="3"/>
      <c r="H337" s="1376" t="s">
        <v>2701</v>
      </c>
      <c r="I337" s="1376"/>
      <c r="J337" s="1376"/>
      <c r="K337" s="1376"/>
      <c r="L337" s="1376"/>
      <c r="M337" s="1376"/>
      <c r="N337" s="1376"/>
      <c r="O337" s="1376"/>
      <c r="P337" s="1376"/>
      <c r="Q337" s="1376"/>
      <c r="R337" s="1376"/>
      <c r="T337" s="3" t="s">
        <v>75</v>
      </c>
      <c r="V337" s="3"/>
      <c r="W337" s="3"/>
      <c r="X337" s="3"/>
      <c r="Y337" s="3"/>
      <c r="AA337" s="1444" t="s">
        <v>2737</v>
      </c>
      <c r="AB337" s="1376"/>
      <c r="AC337" s="1376"/>
      <c r="AD337" s="1376"/>
      <c r="AE337" s="1376"/>
      <c r="AF337" s="1376"/>
      <c r="AG337" s="1376"/>
      <c r="AH337" s="1376"/>
      <c r="AI337" s="1376"/>
      <c r="AJ337" s="1376"/>
      <c r="AK337" s="1376"/>
    </row>
    <row r="338" spans="1:66" ht="12.9" customHeight="1">
      <c r="B338" s="3" t="s">
        <v>87</v>
      </c>
      <c r="C338" s="3"/>
      <c r="D338" s="3"/>
      <c r="E338" s="3"/>
      <c r="F338" s="3"/>
      <c r="G338" s="3"/>
      <c r="H338" s="1376" t="s">
        <v>2702</v>
      </c>
      <c r="I338" s="1376"/>
      <c r="J338" s="1376"/>
      <c r="K338" s="1376"/>
      <c r="L338" s="1376"/>
      <c r="M338" s="1376"/>
      <c r="N338" s="1376"/>
      <c r="O338" s="1376"/>
      <c r="P338" s="1376"/>
      <c r="Q338" s="1376"/>
      <c r="R338" s="1376"/>
      <c r="T338" s="3" t="s">
        <v>87</v>
      </c>
      <c r="V338" s="3"/>
      <c r="W338" s="3"/>
      <c r="X338" s="3"/>
      <c r="Y338" s="3"/>
      <c r="AA338" s="1444" t="s">
        <v>2766</v>
      </c>
      <c r="AB338" s="1376"/>
      <c r="AC338" s="1376"/>
      <c r="AD338" s="1376"/>
      <c r="AE338" s="1376"/>
      <c r="AF338" s="1376"/>
      <c r="AG338" s="1376"/>
      <c r="AH338" s="1376"/>
      <c r="AI338" s="1376"/>
      <c r="AJ338" s="1376"/>
      <c r="AK338" s="1376"/>
    </row>
    <row r="339" spans="1:66" ht="12.9" customHeight="1">
      <c r="B339" s="3" t="s">
        <v>88</v>
      </c>
      <c r="C339" s="3"/>
      <c r="D339" s="3"/>
      <c r="E339" s="3"/>
      <c r="F339" s="3"/>
      <c r="G339" s="3"/>
      <c r="H339" s="1522" t="s">
        <v>2703</v>
      </c>
      <c r="I339" s="1522"/>
      <c r="J339" s="1522"/>
      <c r="K339" s="1522"/>
      <c r="L339" s="1522"/>
      <c r="M339" s="1522"/>
      <c r="N339" s="4" t="s">
        <v>207</v>
      </c>
      <c r="O339" s="4"/>
      <c r="P339" s="1520"/>
      <c r="Q339" s="1520"/>
      <c r="R339" s="1520"/>
      <c r="S339" s="3"/>
      <c r="T339" s="3" t="s">
        <v>88</v>
      </c>
      <c r="V339" s="3"/>
      <c r="W339" s="3"/>
      <c r="X339" s="3"/>
      <c r="Y339" s="3"/>
      <c r="AA339" s="1445" t="s">
        <v>2767</v>
      </c>
      <c r="AB339" s="1445"/>
      <c r="AC339" s="1445"/>
      <c r="AD339" s="1445"/>
      <c r="AE339" s="1445"/>
      <c r="AF339" s="1445"/>
      <c r="AG339" s="4" t="s">
        <v>207</v>
      </c>
      <c r="AH339" s="4"/>
      <c r="AI339" s="1520"/>
      <c r="AJ339" s="1520"/>
      <c r="AK339" s="1520"/>
    </row>
    <row r="340" spans="1:66" ht="12.9" customHeight="1">
      <c r="B340" s="3" t="s">
        <v>89</v>
      </c>
      <c r="C340" s="3"/>
      <c r="D340" s="3"/>
      <c r="E340" s="3"/>
      <c r="F340" s="3"/>
      <c r="G340" s="3"/>
      <c r="H340" s="1396"/>
      <c r="I340" s="1396"/>
      <c r="J340" s="1396"/>
      <c r="K340" s="1396"/>
      <c r="L340" s="1396"/>
      <c r="M340" s="1396"/>
      <c r="N340" s="4"/>
      <c r="O340" s="4"/>
      <c r="P340" s="35"/>
      <c r="Q340" s="35"/>
      <c r="R340" s="35"/>
      <c r="S340" s="3"/>
      <c r="T340" s="3" t="s">
        <v>89</v>
      </c>
      <c r="V340" s="3"/>
      <c r="W340" s="3"/>
      <c r="X340" s="3"/>
      <c r="Y340" s="3"/>
      <c r="AA340" s="1396"/>
      <c r="AB340" s="1396"/>
      <c r="AC340" s="1396"/>
      <c r="AD340" s="1396"/>
      <c r="AE340" s="1396"/>
      <c r="AF340" s="1396"/>
      <c r="AG340" s="4"/>
      <c r="AH340" s="4"/>
      <c r="AI340" s="35"/>
      <c r="AJ340" s="35"/>
      <c r="AK340" s="35"/>
    </row>
    <row r="341" spans="1:66" ht="12.9" customHeight="1">
      <c r="B341" s="3" t="s">
        <v>76</v>
      </c>
      <c r="C341" s="3"/>
      <c r="D341" s="3"/>
      <c r="E341" s="3"/>
      <c r="F341" s="3"/>
      <c r="G341" s="3"/>
      <c r="H341" s="1376" t="s">
        <v>2704</v>
      </c>
      <c r="I341" s="1376"/>
      <c r="J341" s="1376"/>
      <c r="K341" s="1376"/>
      <c r="L341" s="1376"/>
      <c r="M341" s="1376"/>
      <c r="N341" s="1364"/>
      <c r="O341" s="1364"/>
      <c r="P341" s="1364"/>
      <c r="Q341" s="1364"/>
      <c r="R341" s="1364"/>
      <c r="S341" s="3"/>
      <c r="T341" s="3" t="s">
        <v>76</v>
      </c>
      <c r="V341" s="3"/>
      <c r="W341" s="3"/>
      <c r="X341" s="3"/>
      <c r="Y341" s="3"/>
      <c r="AA341" s="1444" t="s">
        <v>2768</v>
      </c>
      <c r="AB341" s="1376"/>
      <c r="AC341" s="1376"/>
      <c r="AD341" s="1376"/>
      <c r="AE341" s="1376"/>
      <c r="AF341" s="1376"/>
      <c r="AG341" s="1364"/>
      <c r="AH341" s="1364"/>
      <c r="AI341" s="1364"/>
      <c r="AJ341" s="1364"/>
      <c r="AK341" s="1364"/>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 customHeight="1">
      <c r="B343" s="3"/>
      <c r="C343" s="4"/>
      <c r="D343" s="4"/>
      <c r="E343" s="4"/>
      <c r="F343" s="4"/>
      <c r="I343" s="218" t="s">
        <v>900</v>
      </c>
      <c r="P343" s="1364"/>
      <c r="Q343" s="1364"/>
      <c r="R343" s="1364"/>
      <c r="S343" s="1364"/>
      <c r="T343" s="1364"/>
      <c r="U343" s="1364"/>
      <c r="V343" s="1364"/>
      <c r="W343" s="1364"/>
      <c r="X343" s="1364"/>
      <c r="Y343" s="1364"/>
      <c r="Z343" s="1364"/>
      <c r="AA343" s="1364"/>
      <c r="AB343" s="1364"/>
      <c r="AC343" s="1364"/>
      <c r="AD343" s="1364"/>
      <c r="AE343" s="1364"/>
      <c r="BN343" t="s">
        <v>677</v>
      </c>
    </row>
    <row r="344" spans="1:66" ht="12.9" customHeight="1">
      <c r="B344" s="4"/>
      <c r="C344" s="4"/>
      <c r="D344" s="4"/>
      <c r="E344" s="4"/>
      <c r="F344" s="4"/>
      <c r="I344" s="4" t="s">
        <v>479</v>
      </c>
      <c r="P344" s="1376"/>
      <c r="Q344" s="1376"/>
      <c r="R344" s="1376"/>
      <c r="S344" s="1376"/>
      <c r="T344" s="1376"/>
      <c r="U344" s="1376"/>
      <c r="V344" s="1376"/>
      <c r="W344" s="1376"/>
      <c r="X344" s="1376"/>
      <c r="Y344" s="1376"/>
      <c r="Z344" s="1376"/>
      <c r="AA344" s="1376"/>
      <c r="AB344" s="1376"/>
      <c r="AC344" s="1376"/>
      <c r="AD344" s="1376"/>
      <c r="AE344" s="1376"/>
      <c r="BN344" t="s">
        <v>553</v>
      </c>
    </row>
    <row r="345" spans="1:66" ht="12.9" customHeight="1">
      <c r="B345" s="4"/>
      <c r="C345" s="4"/>
      <c r="D345" s="4"/>
      <c r="E345" s="4"/>
      <c r="F345" s="4"/>
      <c r="I345" s="4" t="s">
        <v>75</v>
      </c>
      <c r="P345" s="1376"/>
      <c r="Q345" s="1376"/>
      <c r="R345" s="1376"/>
      <c r="S345" s="1376"/>
      <c r="T345" s="1376"/>
      <c r="U345" s="1376"/>
      <c r="V345" s="1376"/>
      <c r="W345" s="1376"/>
      <c r="X345" s="1376"/>
      <c r="Y345" s="1376"/>
      <c r="Z345" s="1376"/>
      <c r="AA345" s="1376"/>
      <c r="AB345" s="1376"/>
      <c r="AC345" s="1376"/>
      <c r="AD345" s="1376"/>
      <c r="AE345" s="1376"/>
    </row>
    <row r="346" spans="1:66" ht="12.9" customHeight="1">
      <c r="B346" s="4"/>
      <c r="C346" s="4"/>
      <c r="D346" s="4"/>
      <c r="E346" s="4"/>
      <c r="F346" s="4"/>
      <c r="G346" s="4"/>
      <c r="I346" s="4" t="s">
        <v>87</v>
      </c>
      <c r="P346" s="1376"/>
      <c r="Q346" s="1376"/>
      <c r="R346" s="1376"/>
      <c r="S346" s="1376"/>
      <c r="T346" s="1376"/>
      <c r="U346" s="1376"/>
      <c r="V346" s="1376"/>
      <c r="W346" s="1376"/>
      <c r="X346" s="1376"/>
      <c r="Y346" s="1376"/>
      <c r="Z346" s="1376"/>
      <c r="AA346" s="1376"/>
      <c r="AB346" s="1376"/>
      <c r="AC346" s="1376"/>
      <c r="AD346" s="1376"/>
      <c r="AE346" s="1376"/>
    </row>
    <row r="347" spans="1:66" ht="12.9" customHeight="1">
      <c r="B347" s="4"/>
      <c r="C347" s="4"/>
      <c r="D347" s="4"/>
      <c r="E347" s="4"/>
      <c r="F347" s="4"/>
      <c r="G347" s="4"/>
      <c r="H347" s="324"/>
      <c r="I347" s="4" t="s">
        <v>88</v>
      </c>
      <c r="P347" s="1396"/>
      <c r="Q347" s="1396"/>
      <c r="R347" s="1396"/>
      <c r="S347" s="1396"/>
      <c r="T347" s="1396"/>
      <c r="U347" s="1396"/>
      <c r="V347" s="1396"/>
      <c r="W347" s="1396"/>
      <c r="X347" s="1396"/>
      <c r="Y347" s="1396"/>
      <c r="Z347" s="1396"/>
      <c r="AA347" s="4" t="s">
        <v>207</v>
      </c>
      <c r="AB347" s="4"/>
      <c r="AC347" s="1377"/>
      <c r="AD347" s="1377"/>
      <c r="AE347" s="1377"/>
      <c r="AF347" s="324"/>
      <c r="AG347" s="4"/>
      <c r="AH347" s="4"/>
      <c r="AI347" s="4"/>
      <c r="AJ347" s="4"/>
      <c r="AK347" s="4"/>
    </row>
    <row r="348" spans="1:66" ht="12.9" customHeight="1">
      <c r="B348" s="4"/>
      <c r="C348" s="4"/>
      <c r="D348" s="4"/>
      <c r="E348" s="4"/>
      <c r="F348" s="4"/>
      <c r="G348" s="4"/>
      <c r="H348" s="324"/>
      <c r="I348" s="4" t="s">
        <v>89</v>
      </c>
      <c r="P348" s="1396"/>
      <c r="Q348" s="1396"/>
      <c r="R348" s="1396"/>
      <c r="S348" s="1396"/>
      <c r="T348" s="1396"/>
      <c r="U348" s="1396"/>
      <c r="V348" s="1396"/>
      <c r="W348" s="1396"/>
      <c r="X348" s="1396"/>
      <c r="Y348" s="1396"/>
      <c r="Z348" s="1396"/>
      <c r="AF348" s="324"/>
      <c r="AG348" s="4"/>
      <c r="AH348" s="4"/>
      <c r="AI348" s="35"/>
      <c r="AJ348" s="35"/>
      <c r="AK348" s="35"/>
    </row>
    <row r="349" spans="1:66" ht="12.9" customHeight="1">
      <c r="B349" s="4"/>
      <c r="C349" s="4"/>
      <c r="D349" s="4"/>
      <c r="E349" s="4"/>
      <c r="F349" s="4"/>
      <c r="G349" s="4"/>
      <c r="I349" s="4" t="s">
        <v>76</v>
      </c>
      <c r="P349" s="1364"/>
      <c r="Q349" s="1364"/>
      <c r="R349" s="1364"/>
      <c r="S349" s="1364"/>
      <c r="T349" s="1364"/>
      <c r="U349" s="1364"/>
      <c r="V349" s="1364"/>
      <c r="W349" s="1364"/>
      <c r="X349" s="1364"/>
      <c r="Y349" s="1364"/>
      <c r="Z349" s="1364"/>
      <c r="AA349" s="1364"/>
      <c r="AB349" s="1364"/>
      <c r="AC349" s="1364"/>
      <c r="AD349" s="1364"/>
      <c r="AE349" s="1364"/>
    </row>
    <row r="350" spans="1:66" ht="12.9" customHeight="1">
      <c r="T350" s="8"/>
      <c r="U350" s="8"/>
      <c r="V350" s="8"/>
      <c r="W350" s="8"/>
      <c r="X350" s="8"/>
      <c r="Y350" s="8"/>
      <c r="Z350" s="8"/>
      <c r="AU350" s="95"/>
      <c r="AV350" s="95"/>
      <c r="AW350" s="95"/>
      <c r="AX350" s="95"/>
      <c r="AY350" s="95"/>
    </row>
    <row r="351" spans="1:66" ht="12.9" customHeight="1">
      <c r="A351" s="1661" t="s">
        <v>550</v>
      </c>
      <c r="B351" s="1661"/>
      <c r="C351" s="1661"/>
      <c r="D351" s="1661"/>
      <c r="E351" s="1661"/>
      <c r="F351" s="1661"/>
      <c r="G351" s="1661"/>
      <c r="H351" s="1661"/>
      <c r="I351" s="1661"/>
      <c r="J351" s="1661"/>
      <c r="K351" s="1661"/>
      <c r="L351" s="1661"/>
      <c r="M351" s="1661"/>
      <c r="N351" s="1661"/>
      <c r="O351" s="1661"/>
      <c r="P351" s="1661"/>
      <c r="Q351" s="1661"/>
      <c r="R351" s="1661"/>
      <c r="S351" s="1661"/>
      <c r="T351" s="1661"/>
      <c r="U351" s="1661"/>
      <c r="V351" s="1661"/>
      <c r="W351" s="1661"/>
      <c r="X351" s="1661"/>
      <c r="Y351" s="1661"/>
      <c r="Z351" s="1661"/>
      <c r="AA351" s="1661"/>
      <c r="AB351" s="1661"/>
      <c r="AC351" s="1661"/>
      <c r="AD351" s="1661"/>
      <c r="AE351" s="1661"/>
      <c r="AF351" s="1661"/>
      <c r="AG351" s="1661"/>
      <c r="AH351" s="1661"/>
      <c r="AI351" s="1661"/>
      <c r="AJ351" s="1661"/>
      <c r="AK351" s="1661"/>
      <c r="AL351" s="1661"/>
      <c r="AM351" s="1661"/>
      <c r="AN351" s="1661"/>
      <c r="AO351" s="1661"/>
      <c r="AP351" s="1661"/>
      <c r="AQ351" s="1661"/>
      <c r="AR351" s="1661"/>
      <c r="AS351" s="1661"/>
      <c r="AT351" s="1661"/>
      <c r="AU351" s="95"/>
      <c r="AV351" s="95"/>
      <c r="AW351" s="95"/>
      <c r="AX351" s="95"/>
      <c r="AY351" s="95"/>
    </row>
    <row r="352" spans="1:66" ht="12.9" customHeight="1">
      <c r="A352" s="1661"/>
      <c r="B352" s="1661"/>
      <c r="C352" s="1661"/>
      <c r="D352" s="1661"/>
      <c r="E352" s="1661"/>
      <c r="F352" s="1661"/>
      <c r="G352" s="1661"/>
      <c r="H352" s="1661"/>
      <c r="I352" s="1661"/>
      <c r="J352" s="1661"/>
      <c r="K352" s="1661"/>
      <c r="L352" s="1661"/>
      <c r="M352" s="1661"/>
      <c r="N352" s="1661"/>
      <c r="O352" s="1661"/>
      <c r="P352" s="1661"/>
      <c r="Q352" s="1661"/>
      <c r="R352" s="1661"/>
      <c r="S352" s="1661"/>
      <c r="T352" s="1661"/>
      <c r="U352" s="1661"/>
      <c r="V352" s="1661"/>
      <c r="W352" s="1661"/>
      <c r="X352" s="1661"/>
      <c r="Y352" s="1661"/>
      <c r="Z352" s="1661"/>
      <c r="AA352" s="1661"/>
      <c r="AB352" s="1661"/>
      <c r="AC352" s="1661"/>
      <c r="AD352" s="1661"/>
      <c r="AE352" s="1661"/>
      <c r="AF352" s="1661"/>
      <c r="AG352" s="1661"/>
      <c r="AH352" s="1661"/>
      <c r="AI352" s="1661"/>
      <c r="AJ352" s="1661"/>
      <c r="AK352" s="1661"/>
      <c r="AL352" s="1661"/>
      <c r="AM352" s="1661"/>
      <c r="AN352" s="1661"/>
      <c r="AO352" s="1661"/>
      <c r="AP352" s="1661"/>
      <c r="AQ352" s="1661"/>
      <c r="AR352" s="1661"/>
      <c r="AS352" s="1661"/>
      <c r="AT352" s="1661"/>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320</v>
      </c>
      <c r="B354" s="2"/>
      <c r="C354" s="2" t="s">
        <v>791</v>
      </c>
    </row>
    <row r="355" spans="1:46" ht="12.9" customHeight="1">
      <c r="D355" s="3" t="s">
        <v>2414</v>
      </c>
      <c r="M355" s="1374" t="s">
        <v>553</v>
      </c>
      <c r="N355" s="1374"/>
      <c r="P355" t="s">
        <v>1763</v>
      </c>
      <c r="AJ355" s="1374" t="s">
        <v>677</v>
      </c>
      <c r="AK355" s="1374"/>
    </row>
    <row r="356" spans="1:46" ht="12.9" customHeight="1">
      <c r="D356" s="3" t="s">
        <v>1752</v>
      </c>
      <c r="M356" s="1374" t="s">
        <v>599</v>
      </c>
      <c r="N356" s="1374"/>
      <c r="P356" s="3" t="s">
        <v>1906</v>
      </c>
      <c r="AJ356" s="1456"/>
      <c r="AK356" s="1456"/>
    </row>
    <row r="357" spans="1:46" ht="12.9" customHeight="1">
      <c r="D357" s="3" t="s">
        <v>713</v>
      </c>
      <c r="M357" s="1374" t="s">
        <v>599</v>
      </c>
      <c r="N357" s="1374"/>
      <c r="P357" t="s">
        <v>1762</v>
      </c>
      <c r="AJ357" s="1374" t="s">
        <v>677</v>
      </c>
      <c r="AK357" s="1374"/>
    </row>
    <row r="358" spans="1:46" ht="12.9" customHeight="1">
      <c r="D358" s="3" t="s">
        <v>714</v>
      </c>
      <c r="M358" s="1374" t="s">
        <v>599</v>
      </c>
      <c r="N358" s="1374"/>
      <c r="Q358" s="4"/>
    </row>
    <row r="359" spans="1:46" ht="12.9" customHeight="1">
      <c r="Q359" s="4"/>
    </row>
    <row r="360" spans="1:46" ht="12.9" customHeight="1">
      <c r="Q360" s="4"/>
    </row>
    <row r="361" spans="1:46" ht="12.9" customHeight="1">
      <c r="A361" s="2" t="s">
        <v>584</v>
      </c>
      <c r="B361" s="2"/>
      <c r="C361" s="2" t="s">
        <v>560</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374" t="s">
        <v>599</v>
      </c>
      <c r="O363" s="1374"/>
      <c r="P363" s="40"/>
      <c r="Q363" s="40"/>
      <c r="R363" s="40"/>
      <c r="S363" s="40"/>
      <c r="T363" s="40"/>
      <c r="U363" s="40"/>
      <c r="V363" s="40"/>
      <c r="W363" s="40"/>
      <c r="X363" s="40"/>
      <c r="Y363" s="40"/>
      <c r="Z363" s="40"/>
      <c r="AC363" s="40"/>
      <c r="AD363" s="40"/>
      <c r="AE363" s="40"/>
    </row>
    <row r="364" spans="1:46" ht="12.9" customHeight="1">
      <c r="E364" t="s">
        <v>371</v>
      </c>
      <c r="Y364" s="1374" t="s">
        <v>599</v>
      </c>
      <c r="Z364" s="1374"/>
    </row>
    <row r="365" spans="1:46" ht="12.9" customHeight="1">
      <c r="D365" s="4" t="s">
        <v>997</v>
      </c>
      <c r="Q365" s="1364"/>
      <c r="R365" s="1364"/>
      <c r="S365" s="1364"/>
      <c r="T365" s="1364"/>
      <c r="U365" s="1364"/>
      <c r="V365" s="1364"/>
      <c r="W365" s="1364"/>
      <c r="X365" s="1364"/>
      <c r="Y365" s="1364"/>
      <c r="Z365" s="1364"/>
      <c r="AA365" s="1364"/>
      <c r="AB365" s="1364"/>
      <c r="AC365" s="1364"/>
      <c r="AD365" s="1364"/>
      <c r="AE365" s="1364"/>
      <c r="AF365" s="1364"/>
      <c r="AG365" s="1364"/>
    </row>
    <row r="366" spans="1:46" ht="12.9"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189</v>
      </c>
      <c r="E367" s="40"/>
      <c r="F367" s="40"/>
      <c r="G367" s="40"/>
      <c r="H367" s="40"/>
      <c r="I367" s="40"/>
      <c r="J367" s="1374" t="s">
        <v>599</v>
      </c>
      <c r="K367" s="1374"/>
      <c r="L367" s="40"/>
      <c r="M367" s="40"/>
      <c r="N367" s="40"/>
      <c r="O367" s="40"/>
      <c r="P367" s="40"/>
      <c r="Q367" s="40"/>
      <c r="R367" s="40"/>
      <c r="S367" s="40"/>
      <c r="T367" s="40"/>
      <c r="U367" s="40"/>
      <c r="V367" s="40"/>
      <c r="W367" s="40"/>
      <c r="X367" s="40"/>
      <c r="Y367" s="40"/>
      <c r="Z367" s="40"/>
      <c r="AC367" s="40"/>
      <c r="AD367" s="40"/>
      <c r="AE367" s="40"/>
    </row>
    <row r="368" spans="1:46" ht="12.9" customHeight="1">
      <c r="E368" s="1533" t="s">
        <v>715</v>
      </c>
      <c r="F368" s="1533"/>
      <c r="G368" s="1533"/>
      <c r="H368" s="1533"/>
      <c r="I368" s="1533"/>
      <c r="J368" s="1533"/>
      <c r="K368" s="1533"/>
      <c r="L368" s="1533"/>
      <c r="M368" s="1533"/>
      <c r="N368" s="1533"/>
      <c r="O368" s="1533"/>
      <c r="P368" s="1533"/>
      <c r="Q368" s="1533"/>
      <c r="R368" s="1533"/>
      <c r="S368" s="1533"/>
      <c r="T368" s="1533"/>
      <c r="U368" s="1533"/>
      <c r="V368" s="1533"/>
      <c r="W368" s="1533"/>
      <c r="X368" s="1533"/>
      <c r="Y368" s="1533"/>
      <c r="Z368" s="1533"/>
      <c r="AA368" s="1533"/>
      <c r="AB368" s="1533"/>
      <c r="AC368" s="1533"/>
      <c r="AD368" s="1533"/>
      <c r="AE368" s="1533"/>
      <c r="AF368" s="1533"/>
      <c r="AG368" s="1533"/>
      <c r="AH368" s="1533"/>
    </row>
    <row r="369" spans="1:34" ht="12.9" customHeight="1">
      <c r="E369" s="1533"/>
      <c r="F369" s="1533"/>
      <c r="G369" s="1533"/>
      <c r="H369" s="1533"/>
      <c r="I369" s="1533"/>
      <c r="J369" s="1533"/>
      <c r="K369" s="1533"/>
      <c r="L369" s="1533"/>
      <c r="M369" s="1533"/>
      <c r="N369" s="1533"/>
      <c r="O369" s="1533"/>
      <c r="P369" s="1533"/>
      <c r="Q369" s="1533"/>
      <c r="R369" s="1533"/>
      <c r="S369" s="1533"/>
      <c r="T369" s="1533"/>
      <c r="U369" s="1533"/>
      <c r="V369" s="1533"/>
      <c r="W369" s="1533"/>
      <c r="X369" s="1533"/>
      <c r="Y369" s="1533"/>
      <c r="Z369" s="1533"/>
      <c r="AA369" s="1533"/>
      <c r="AB369" s="1533"/>
      <c r="AC369" s="1533"/>
      <c r="AD369" s="1533"/>
      <c r="AE369" s="1533"/>
      <c r="AF369" s="1533"/>
      <c r="AG369" s="1533"/>
      <c r="AH369" s="1533"/>
    </row>
    <row r="370" spans="1:34" ht="12.9" customHeight="1">
      <c r="E370" s="4" t="s">
        <v>456</v>
      </c>
      <c r="F370" s="4"/>
      <c r="G370" s="4"/>
      <c r="H370" s="4"/>
      <c r="I370" s="4"/>
      <c r="J370" s="4"/>
      <c r="K370" s="4"/>
      <c r="L370" s="4"/>
      <c r="N370" s="1468"/>
      <c r="O370" s="1468"/>
      <c r="P370" s="1468"/>
      <c r="Q370" s="1468"/>
      <c r="R370" s="4"/>
      <c r="U370" s="4" t="s">
        <v>457</v>
      </c>
      <c r="V370" s="4"/>
      <c r="W370" s="4"/>
      <c r="X370" s="4"/>
      <c r="Y370" s="4"/>
      <c r="Z370" s="4"/>
      <c r="AA370" s="4"/>
      <c r="AB370" s="4"/>
      <c r="AC370" s="1468"/>
      <c r="AD370" s="1468"/>
      <c r="AE370" s="1468"/>
      <c r="AF370" s="1468"/>
    </row>
    <row r="371" spans="1:34" ht="12.9" customHeight="1">
      <c r="E371" s="4" t="s">
        <v>458</v>
      </c>
      <c r="F371" s="4"/>
      <c r="G371" s="4"/>
      <c r="H371" s="4"/>
      <c r="I371" s="4"/>
      <c r="J371" s="4"/>
      <c r="K371" s="4"/>
      <c r="L371" s="4"/>
      <c r="N371" s="1468"/>
      <c r="O371" s="1468"/>
      <c r="P371" s="1468"/>
      <c r="Q371" s="1468"/>
      <c r="R371" s="4"/>
      <c r="U371" s="4" t="s">
        <v>0</v>
      </c>
      <c r="V371" s="4"/>
      <c r="W371" s="4"/>
      <c r="X371" s="4"/>
      <c r="Y371" s="4"/>
      <c r="Z371" s="4"/>
      <c r="AA371" s="4"/>
      <c r="AB371" s="4"/>
      <c r="AC371" s="1468"/>
      <c r="AD371" s="1468"/>
      <c r="AE371" s="1468"/>
      <c r="AF371" s="1468"/>
    </row>
    <row r="372" spans="1:34" ht="12.9" customHeight="1">
      <c r="E372" s="4" t="s">
        <v>1</v>
      </c>
      <c r="F372" s="4"/>
      <c r="G372" s="4"/>
      <c r="H372" s="4"/>
      <c r="I372" s="4"/>
      <c r="J372" s="4"/>
      <c r="K372" s="4"/>
      <c r="L372" s="4"/>
      <c r="N372" s="1468"/>
      <c r="O372" s="1468"/>
      <c r="P372" s="1468"/>
      <c r="Q372" s="1468"/>
      <c r="R372" s="4"/>
      <c r="V372" s="4"/>
      <c r="W372" s="4"/>
      <c r="X372" s="4"/>
      <c r="Y372" s="4"/>
      <c r="Z372" s="4"/>
      <c r="AA372" s="4"/>
      <c r="AB372" s="4"/>
    </row>
    <row r="373" spans="1:34" ht="12.9" customHeight="1">
      <c r="E373" s="4" t="s">
        <v>2</v>
      </c>
      <c r="F373" s="4"/>
      <c r="G373" s="4"/>
      <c r="H373" s="4"/>
      <c r="I373" s="4"/>
      <c r="J373" s="4"/>
      <c r="K373" s="4"/>
      <c r="L373" s="4"/>
      <c r="N373" s="1476"/>
      <c r="O373" s="1476"/>
      <c r="P373" s="1476"/>
      <c r="Q373" s="1476"/>
      <c r="R373" s="1476"/>
      <c r="S373" s="1476"/>
      <c r="T373" s="1476"/>
      <c r="U373" s="1476"/>
      <c r="V373" s="1476"/>
      <c r="W373" s="1476"/>
      <c r="X373" s="1476"/>
      <c r="Y373" s="1476"/>
      <c r="Z373" s="1476"/>
      <c r="AA373" s="1476"/>
      <c r="AB373" s="1476"/>
      <c r="AC373" s="1476"/>
      <c r="AD373" s="1476"/>
      <c r="AE373" s="1476"/>
      <c r="AF373" s="1476"/>
    </row>
    <row r="374" spans="1:34" ht="12.9" customHeight="1">
      <c r="E374" s="4"/>
      <c r="F374" s="4"/>
      <c r="G374" s="4"/>
      <c r="H374" s="4"/>
      <c r="I374" s="4"/>
      <c r="J374" s="4"/>
      <c r="K374" s="4"/>
      <c r="L374" s="4"/>
      <c r="N374" s="1477"/>
      <c r="O374" s="1477"/>
      <c r="P374" s="1477"/>
      <c r="Q374" s="1477"/>
      <c r="R374" s="1477"/>
      <c r="S374" s="1477"/>
      <c r="T374" s="1477"/>
      <c r="U374" s="1477"/>
      <c r="V374" s="1477"/>
      <c r="W374" s="1477"/>
      <c r="X374" s="1477"/>
      <c r="Y374" s="1477"/>
      <c r="Z374" s="1477"/>
      <c r="AA374" s="1477"/>
      <c r="AB374" s="1477"/>
      <c r="AC374" s="1477"/>
      <c r="AD374" s="1477"/>
      <c r="AE374" s="1477"/>
      <c r="AF374" s="1477"/>
    </row>
    <row r="375" spans="1:34" ht="12.9" customHeight="1">
      <c r="C375" s="546"/>
      <c r="E375" s="4"/>
      <c r="F375" s="4"/>
      <c r="G375" s="4"/>
      <c r="H375" s="4"/>
      <c r="I375" s="4"/>
      <c r="J375" s="4"/>
      <c r="K375" s="4"/>
      <c r="L375" s="4"/>
    </row>
    <row r="376" spans="1:34" ht="12.9" customHeight="1">
      <c r="D376" s="2" t="s">
        <v>994</v>
      </c>
      <c r="E376" s="2"/>
      <c r="F376" s="4"/>
      <c r="G376" s="4"/>
      <c r="H376" s="4"/>
      <c r="I376" s="4"/>
      <c r="J376" s="4"/>
      <c r="K376" s="4"/>
      <c r="L376" s="4"/>
    </row>
    <row r="377" spans="1:34" ht="12.9" customHeight="1">
      <c r="E377" s="4" t="s">
        <v>2398</v>
      </c>
      <c r="F377" s="4"/>
      <c r="G377" s="4"/>
      <c r="H377" s="4"/>
      <c r="I377" s="4"/>
      <c r="J377" s="4"/>
      <c r="K377" s="4"/>
      <c r="L377" s="4"/>
      <c r="N377" t="s">
        <v>2393</v>
      </c>
      <c r="R377" s="27" t="s">
        <v>306</v>
      </c>
      <c r="S377" s="1478"/>
      <c r="T377" s="1478"/>
      <c r="U377" s="1" t="s">
        <v>307</v>
      </c>
      <c r="V377" s="1478"/>
      <c r="W377" s="1478"/>
      <c r="Y377" t="s">
        <v>2393</v>
      </c>
      <c r="AC377" s="27" t="s">
        <v>306</v>
      </c>
      <c r="AD377" s="1478"/>
      <c r="AE377" s="1478"/>
      <c r="AF377" s="1" t="s">
        <v>307</v>
      </c>
      <c r="AG377" s="1478"/>
      <c r="AH377" s="1478"/>
    </row>
    <row r="378" spans="1:34" ht="12.9" customHeight="1">
      <c r="E378" s="4" t="s">
        <v>1011</v>
      </c>
      <c r="F378" s="4"/>
      <c r="G378" s="4"/>
      <c r="H378" s="4"/>
      <c r="I378" s="4"/>
      <c r="J378" s="4"/>
      <c r="K378" s="4"/>
      <c r="L378" s="4"/>
      <c r="N378" s="1478"/>
      <c r="O378" s="1478"/>
      <c r="P378" s="1478"/>
    </row>
    <row r="379" spans="1:34" ht="12.9" customHeight="1">
      <c r="E379" s="218" t="s">
        <v>2399</v>
      </c>
      <c r="F379" s="4"/>
      <c r="G379" s="4"/>
      <c r="H379" s="4"/>
      <c r="I379" s="4"/>
      <c r="J379" s="4"/>
      <c r="K379" s="4"/>
      <c r="L379" s="4"/>
      <c r="AG379" s="1537" t="s">
        <v>599</v>
      </c>
      <c r="AH379" s="1537"/>
    </row>
    <row r="380" spans="1:34" ht="12.9" customHeight="1">
      <c r="E380" s="4"/>
      <c r="F380" s="4"/>
      <c r="G380" s="4" t="s">
        <v>2400</v>
      </c>
      <c r="H380" s="4"/>
      <c r="I380" s="4"/>
      <c r="J380" s="4"/>
      <c r="K380" s="4"/>
      <c r="L380" s="4"/>
      <c r="AG380" s="1537" t="s">
        <v>599</v>
      </c>
      <c r="AH380" s="1537"/>
    </row>
    <row r="381" spans="1:34" ht="12.9" customHeight="1">
      <c r="E381" s="4"/>
      <c r="F381" s="4"/>
      <c r="G381" s="348" t="s">
        <v>1012</v>
      </c>
      <c r="H381" s="4"/>
      <c r="I381" s="4"/>
      <c r="J381" s="4"/>
      <c r="K381" s="4"/>
      <c r="L381" s="4"/>
      <c r="V381" s="1374" t="s">
        <v>599</v>
      </c>
      <c r="W381" s="1374"/>
      <c r="Y381" s="22" t="s">
        <v>999</v>
      </c>
    </row>
    <row r="382" spans="1:34" ht="12.9" customHeight="1">
      <c r="E382" s="4" t="s">
        <v>1000</v>
      </c>
      <c r="F382" s="4"/>
      <c r="G382" s="4"/>
      <c r="H382" s="4"/>
      <c r="I382" s="4"/>
      <c r="J382" s="4"/>
      <c r="K382" s="4"/>
      <c r="L382" s="4"/>
      <c r="V382" s="1374" t="s">
        <v>599</v>
      </c>
      <c r="W382" s="1374"/>
      <c r="Y382" s="4" t="s">
        <v>1001</v>
      </c>
    </row>
    <row r="383" spans="1:34" ht="12.9" customHeight="1"/>
    <row r="384" spans="1:34" ht="12.9" customHeight="1">
      <c r="A384" s="2" t="s">
        <v>78</v>
      </c>
      <c r="B384" s="2"/>
    </row>
    <row r="385" spans="4:36" ht="12.9" customHeight="1">
      <c r="D385" t="s">
        <v>429</v>
      </c>
      <c r="J385" s="1487" t="s">
        <v>2713</v>
      </c>
      <c r="K385" s="1364"/>
      <c r="L385" s="1364"/>
      <c r="M385" s="1364"/>
      <c r="N385" s="1364"/>
      <c r="O385" s="1364"/>
      <c r="P385" s="1364"/>
      <c r="Q385" s="1364"/>
      <c r="R385" s="1364"/>
      <c r="S385" s="1364"/>
      <c r="T385" s="1364"/>
      <c r="U385" s="1364"/>
      <c r="V385" s="8" t="s">
        <v>83</v>
      </c>
      <c r="W385" s="8"/>
      <c r="X385" s="8"/>
      <c r="Y385" s="8"/>
      <c r="Z385" s="8"/>
      <c r="AA385" s="8"/>
      <c r="AB385" s="8"/>
      <c r="AC385" s="1364" t="s">
        <v>2713</v>
      </c>
      <c r="AD385" s="1364"/>
      <c r="AE385" s="1364"/>
      <c r="AF385" s="1364"/>
      <c r="AG385" s="1364"/>
      <c r="AH385" s="1364"/>
      <c r="AI385" s="1364"/>
      <c r="AJ385" s="1364"/>
    </row>
    <row r="386" spans="4:36" ht="12.9" customHeight="1">
      <c r="D386" s="3" t="s">
        <v>1288</v>
      </c>
      <c r="J386" s="1444" t="s">
        <v>2738</v>
      </c>
      <c r="K386" s="1376"/>
      <c r="L386" s="1376"/>
      <c r="M386" s="1376"/>
      <c r="N386" s="1376"/>
      <c r="O386" s="1376"/>
      <c r="P386" s="1376"/>
      <c r="Q386" s="1376"/>
      <c r="R386" s="1376"/>
      <c r="S386" s="1376"/>
      <c r="T386" s="1376"/>
      <c r="U386" s="1376"/>
      <c r="V386" s="3" t="s">
        <v>1288</v>
      </c>
      <c r="W386" s="8"/>
      <c r="X386" s="8"/>
      <c r="Y386" s="8"/>
      <c r="Z386" s="8"/>
      <c r="AA386" s="8"/>
      <c r="AB386" s="8"/>
      <c r="AC386" s="1364" t="s">
        <v>2740</v>
      </c>
      <c r="AD386" s="1364"/>
      <c r="AE386" s="1364"/>
      <c r="AF386" s="1364"/>
      <c r="AG386" s="1364"/>
      <c r="AH386" s="1364"/>
      <c r="AI386" s="1364"/>
      <c r="AJ386" s="1364"/>
    </row>
    <row r="387" spans="4:36" ht="12.9" customHeight="1">
      <c r="D387" s="3" t="s">
        <v>443</v>
      </c>
      <c r="J387" s="1444" t="s">
        <v>2739</v>
      </c>
      <c r="K387" s="1376"/>
      <c r="L387" s="1376"/>
      <c r="M387" s="1376"/>
      <c r="N387" s="1376"/>
      <c r="O387" s="1376"/>
      <c r="P387" s="1376"/>
      <c r="Q387" s="1376"/>
      <c r="R387" s="1376"/>
      <c r="S387" s="1376"/>
      <c r="T387" s="1376"/>
      <c r="U387" s="1376"/>
      <c r="V387" s="3" t="s">
        <v>443</v>
      </c>
      <c r="W387" s="8"/>
      <c r="X387" s="8"/>
      <c r="Y387" s="8"/>
      <c r="Z387" s="8"/>
      <c r="AA387" s="8"/>
      <c r="AB387" s="8"/>
      <c r="AC387" s="1364" t="s">
        <v>2739</v>
      </c>
      <c r="AD387" s="1364"/>
      <c r="AE387" s="1364"/>
      <c r="AF387" s="1364"/>
      <c r="AG387" s="1364"/>
      <c r="AH387" s="1364"/>
      <c r="AI387" s="1364"/>
      <c r="AJ387" s="1364"/>
    </row>
    <row r="388" spans="4:36" ht="12.9" customHeight="1">
      <c r="D388" t="s">
        <v>1284</v>
      </c>
      <c r="J388" s="1434" t="s">
        <v>2677</v>
      </c>
      <c r="K388" s="1434"/>
      <c r="L388" s="1434"/>
      <c r="M388" s="1434"/>
      <c r="N388" s="1434"/>
      <c r="O388" s="1434"/>
      <c r="P388" s="1434"/>
      <c r="Q388" s="1434"/>
      <c r="R388" s="1434"/>
      <c r="S388" s="1434"/>
      <c r="T388" s="1434"/>
      <c r="U388" s="1434"/>
      <c r="V388" s="1364" t="s">
        <v>2680</v>
      </c>
      <c r="W388" s="1364"/>
      <c r="X388" s="1364"/>
      <c r="Y388" s="1364"/>
      <c r="Z388" s="1364"/>
      <c r="AA388" s="1364"/>
      <c r="AB388" s="1364"/>
      <c r="AC388" s="1364"/>
      <c r="AD388" s="1364"/>
      <c r="AE388" s="1364"/>
      <c r="AF388" s="1364"/>
      <c r="AG388" s="1364"/>
      <c r="AH388" s="1364"/>
      <c r="AI388" s="1364"/>
      <c r="AJ388" s="1364"/>
    </row>
    <row r="389" spans="4:36" ht="12.9" customHeight="1">
      <c r="D389" t="s">
        <v>4</v>
      </c>
      <c r="Q389" s="1770">
        <v>45393</v>
      </c>
      <c r="R389" s="1770"/>
      <c r="S389" s="1770"/>
      <c r="T389" s="1770"/>
      <c r="U389" s="1770"/>
      <c r="V389" t="s">
        <v>310</v>
      </c>
      <c r="AI389" s="1374" t="s">
        <v>553</v>
      </c>
      <c r="AJ389" s="1374"/>
    </row>
    <row r="390" spans="4:36" ht="12.9" customHeight="1">
      <c r="D390" t="s">
        <v>5</v>
      </c>
      <c r="Q390" s="1606"/>
      <c r="R390" s="1719"/>
      <c r="S390" s="1719"/>
      <c r="T390" s="1719"/>
      <c r="U390" s="1719"/>
      <c r="W390" s="21" t="s">
        <v>74</v>
      </c>
      <c r="AG390" s="1517">
        <v>0</v>
      </c>
      <c r="AH390" s="1517"/>
      <c r="AI390" s="1517"/>
      <c r="AJ390" s="1517"/>
    </row>
    <row r="391" spans="4:36" ht="12.9" customHeight="1">
      <c r="D391" t="s">
        <v>428</v>
      </c>
      <c r="Q391" s="1723">
        <v>3600000</v>
      </c>
      <c r="R391" s="1723"/>
      <c r="S391" s="1723"/>
      <c r="T391" s="1723"/>
      <c r="U391" s="1723"/>
      <c r="V391" s="3" t="s">
        <v>1287</v>
      </c>
      <c r="AG391" s="1559">
        <v>45596</v>
      </c>
      <c r="AH391" s="1559"/>
      <c r="AI391" s="1559"/>
      <c r="AJ391" s="1559"/>
    </row>
    <row r="392" spans="4:36" ht="12.9" customHeight="1">
      <c r="D392" t="s">
        <v>88</v>
      </c>
      <c r="I392" s="1445" t="s">
        <v>2773</v>
      </c>
      <c r="J392" s="1522"/>
      <c r="K392" s="1522"/>
      <c r="L392" s="1522"/>
      <c r="M392" s="1522"/>
      <c r="N392" s="1522"/>
      <c r="Q392" s="4" t="s">
        <v>207</v>
      </c>
      <c r="S392" s="1721"/>
      <c r="T392" s="1721"/>
      <c r="U392" s="1721"/>
      <c r="V392" t="s">
        <v>73</v>
      </c>
      <c r="AI392" s="1374" t="s">
        <v>677</v>
      </c>
      <c r="AJ392" s="1374"/>
    </row>
    <row r="393" spans="4:36" ht="12.9" customHeight="1">
      <c r="D393" t="s">
        <v>311</v>
      </c>
      <c r="Q393" s="1560"/>
      <c r="R393" s="1560"/>
      <c r="S393" s="1560"/>
      <c r="T393" s="1560"/>
      <c r="U393" s="1560"/>
      <c r="V393" t="s">
        <v>312</v>
      </c>
      <c r="AG393" s="1517"/>
      <c r="AH393" s="1517"/>
      <c r="AI393" s="1517"/>
      <c r="AJ393" s="1517"/>
    </row>
    <row r="394" spans="4:36" ht="12.9" customHeight="1">
      <c r="D394" t="s">
        <v>313</v>
      </c>
      <c r="Q394" s="1510">
        <v>1.15E-2</v>
      </c>
      <c r="R394" s="1510"/>
      <c r="S394" s="1510"/>
      <c r="T394" s="1510"/>
      <c r="U394" s="1510"/>
      <c r="V394" t="s">
        <v>1268</v>
      </c>
      <c r="AG394" s="1517">
        <v>0</v>
      </c>
      <c r="AH394" s="1517"/>
      <c r="AI394" s="1517"/>
      <c r="AJ394" s="1517"/>
    </row>
    <row r="395" spans="4:36" ht="12.9" customHeight="1">
      <c r="D395" t="s">
        <v>1267</v>
      </c>
      <c r="AG395" s="1517"/>
      <c r="AH395" s="1517"/>
      <c r="AI395" s="1517"/>
      <c r="AJ395" s="1517"/>
    </row>
    <row r="396" spans="4:36" ht="12.9" customHeight="1">
      <c r="AG396" s="490"/>
      <c r="AH396" s="490"/>
      <c r="AI396" s="490"/>
      <c r="AJ396" s="490"/>
    </row>
    <row r="397" spans="4:36" ht="12.9" customHeight="1">
      <c r="D397" s="3" t="s">
        <v>2499</v>
      </c>
      <c r="AG397" s="490"/>
      <c r="AH397" s="490"/>
      <c r="AI397" s="1374" t="s">
        <v>677</v>
      </c>
      <c r="AJ397" s="1374"/>
    </row>
    <row r="398" spans="4:36" ht="12.9" customHeight="1">
      <c r="D398" s="3" t="s">
        <v>1781</v>
      </c>
      <c r="T398" s="1430"/>
      <c r="U398" s="1430"/>
      <c r="V398" s="1430"/>
      <c r="W398" s="1430"/>
      <c r="X398" s="1430"/>
      <c r="Y398" s="1430"/>
      <c r="Z398" s="1430"/>
      <c r="AA398" s="1430"/>
      <c r="AB398" s="1430"/>
      <c r="AC398" s="1430"/>
      <c r="AD398" s="1430"/>
      <c r="AE398" s="1430"/>
      <c r="AF398" s="1430"/>
      <c r="AG398" s="1430"/>
      <c r="AH398" s="1430"/>
      <c r="AI398" s="1430"/>
      <c r="AJ398" s="1430"/>
    </row>
    <row r="399" spans="4:36" ht="12.9" customHeight="1">
      <c r="D399" s="3" t="s">
        <v>1780</v>
      </c>
      <c r="T399" s="1430"/>
      <c r="U399" s="1430"/>
      <c r="V399" s="1430"/>
      <c r="W399" s="1430"/>
      <c r="X399" s="1430"/>
      <c r="Y399" s="1430"/>
      <c r="Z399" s="1430"/>
      <c r="AA399" s="1430"/>
      <c r="AB399" s="1430"/>
      <c r="AC399" s="1430"/>
      <c r="AD399" s="1430"/>
      <c r="AE399" s="1430"/>
      <c r="AF399" s="1430"/>
      <c r="AG399" s="1430"/>
      <c r="AH399" s="1430"/>
      <c r="AI399" s="1430"/>
      <c r="AJ399" s="1430"/>
    </row>
    <row r="400" spans="4:36" ht="12.9" customHeight="1">
      <c r="AG400" s="490"/>
      <c r="AH400" s="490"/>
      <c r="AI400" s="490"/>
      <c r="AJ400" s="490"/>
    </row>
    <row r="401" spans="1:36" ht="12.9" customHeight="1">
      <c r="D401" s="3" t="s">
        <v>1774</v>
      </c>
      <c r="S401" s="1430" t="s">
        <v>677</v>
      </c>
      <c r="T401" s="1430"/>
      <c r="U401" s="1430"/>
      <c r="V401" t="s">
        <v>1775</v>
      </c>
      <c r="AG401" s="1512"/>
      <c r="AH401" s="1512"/>
      <c r="AI401" s="1512"/>
      <c r="AJ401" s="1512"/>
    </row>
    <row r="402" spans="1:36" ht="12.9" customHeight="1">
      <c r="D402" s="3" t="s">
        <v>1772</v>
      </c>
      <c r="S402" s="1430" t="s">
        <v>599</v>
      </c>
      <c r="T402" s="1430"/>
      <c r="U402" s="1430"/>
      <c r="V402" t="s">
        <v>1777</v>
      </c>
      <c r="AE402" s="1519"/>
      <c r="AF402" s="1519"/>
      <c r="AG402" s="1519"/>
      <c r="AH402" s="1519"/>
      <c r="AI402" s="1519"/>
      <c r="AJ402" s="1519"/>
    </row>
    <row r="403" spans="1:36" ht="12.9" customHeight="1">
      <c r="D403" s="3" t="s">
        <v>1773</v>
      </c>
      <c r="K403" s="1511"/>
      <c r="L403" s="1511"/>
      <c r="M403" s="1511"/>
      <c r="N403" s="1511"/>
      <c r="O403" s="1511"/>
      <c r="P403" s="1511"/>
      <c r="Q403" s="1511"/>
      <c r="R403" s="1511"/>
      <c r="S403" s="1511"/>
      <c r="T403" s="1511"/>
      <c r="U403" s="1511"/>
      <c r="V403" s="1511"/>
      <c r="W403" s="1511"/>
      <c r="X403" s="1511"/>
      <c r="Y403" s="1511"/>
      <c r="Z403" s="1511"/>
      <c r="AA403" s="1511"/>
      <c r="AB403" s="1511"/>
      <c r="AC403" s="1511"/>
      <c r="AD403" s="1511"/>
      <c r="AE403" s="1511"/>
      <c r="AF403" s="1511"/>
      <c r="AG403" s="1511"/>
      <c r="AH403" s="1511"/>
      <c r="AI403" s="1511"/>
      <c r="AJ403" s="1511"/>
    </row>
    <row r="404" spans="1:36" ht="12.9" customHeight="1">
      <c r="D404" s="3" t="s">
        <v>1776</v>
      </c>
      <c r="K404" s="1511"/>
      <c r="L404" s="1511"/>
      <c r="M404" s="1511"/>
      <c r="N404" s="1511"/>
      <c r="O404" s="1511"/>
      <c r="P404" s="1511"/>
      <c r="Q404" s="1511"/>
      <c r="R404" s="1511"/>
      <c r="S404" s="1511"/>
      <c r="T404" s="1511"/>
      <c r="U404" s="1511"/>
      <c r="V404" s="1511"/>
      <c r="W404" s="1511"/>
      <c r="X404" s="1511"/>
      <c r="Y404" s="1511"/>
      <c r="Z404" s="1511"/>
      <c r="AA404" s="1511"/>
      <c r="AB404" s="1511"/>
      <c r="AC404" s="1511"/>
      <c r="AD404" s="1511"/>
      <c r="AE404" s="1511"/>
      <c r="AF404" s="1511"/>
      <c r="AG404" s="1511"/>
      <c r="AH404" s="1511"/>
      <c r="AI404" s="1511"/>
      <c r="AJ404" s="1511"/>
    </row>
    <row r="405" spans="1:36" ht="12.9" customHeight="1">
      <c r="D405" s="3" t="s">
        <v>1779</v>
      </c>
      <c r="E405" s="511"/>
      <c r="F405" s="511"/>
      <c r="G405" s="511"/>
      <c r="H405" s="511"/>
      <c r="I405" s="511"/>
      <c r="J405" s="511"/>
      <c r="K405" s="511"/>
      <c r="L405" s="511"/>
      <c r="M405" s="511"/>
      <c r="N405" s="511"/>
      <c r="O405" s="511"/>
      <c r="P405" s="511"/>
      <c r="Q405" s="511"/>
      <c r="R405" s="511"/>
      <c r="S405" s="1561" t="s">
        <v>1290</v>
      </c>
      <c r="T405" s="1561"/>
      <c r="U405" s="1561"/>
      <c r="V405" s="1561"/>
      <c r="W405" s="1561"/>
      <c r="X405" s="1561"/>
      <c r="Y405" s="1561"/>
      <c r="Z405" s="1561"/>
      <c r="AA405" s="1561"/>
      <c r="AB405" s="1561"/>
      <c r="AC405" s="1561"/>
      <c r="AD405" s="1561"/>
      <c r="AE405" s="1561"/>
      <c r="AF405" s="1561"/>
      <c r="AG405" s="1561"/>
      <c r="AH405" s="1561"/>
      <c r="AI405" s="1561"/>
      <c r="AJ405" s="1561"/>
    </row>
    <row r="406" spans="1:36" ht="12.9"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 customHeight="1">
      <c r="AG408" s="490"/>
      <c r="AH408" s="490"/>
      <c r="AI408" s="490"/>
      <c r="AJ408" s="490"/>
    </row>
    <row r="409" spans="1:36" ht="12.9" customHeight="1">
      <c r="A409" s="2" t="s">
        <v>597</v>
      </c>
      <c r="B409" s="2"/>
      <c r="C409" s="2" t="s">
        <v>111</v>
      </c>
    </row>
    <row r="410" spans="1:36" ht="12.9" customHeight="1">
      <c r="B410" s="2"/>
      <c r="C410" s="2"/>
      <c r="D410" s="2" t="s">
        <v>1310</v>
      </c>
      <c r="I410" s="1487" t="s">
        <v>2712</v>
      </c>
      <c r="J410" s="1487"/>
      <c r="K410" s="1487"/>
      <c r="L410" s="1487"/>
      <c r="M410" s="1487"/>
      <c r="N410" s="1487"/>
      <c r="O410" s="1487"/>
      <c r="P410" s="1487"/>
      <c r="Q410" s="1487"/>
      <c r="R410" s="1487"/>
      <c r="S410" s="1487"/>
      <c r="T410" s="1487"/>
      <c r="U410" s="1487"/>
      <c r="V410" s="1487"/>
      <c r="W410" s="1487"/>
      <c r="X410" s="1487"/>
      <c r="Y410" s="1487"/>
      <c r="Z410" s="1487"/>
      <c r="AA410" s="1487"/>
      <c r="AB410" s="1487"/>
      <c r="AC410" s="1487"/>
      <c r="AD410" s="1487"/>
      <c r="AE410" s="1487"/>
    </row>
    <row r="411" spans="1:36" ht="12.9" customHeight="1">
      <c r="E411" t="s">
        <v>106</v>
      </c>
      <c r="R411" s="1374" t="s">
        <v>599</v>
      </c>
      <c r="S411" s="1374"/>
      <c r="AC411" s="27" t="s">
        <v>578</v>
      </c>
      <c r="AD411" s="1468"/>
      <c r="AE411" s="1468"/>
    </row>
    <row r="412" spans="1:36" ht="12.9" customHeight="1">
      <c r="E412" t="s">
        <v>107</v>
      </c>
      <c r="R412" s="1374" t="s">
        <v>553</v>
      </c>
      <c r="S412" s="1374"/>
      <c r="AC412" s="27" t="s">
        <v>578</v>
      </c>
      <c r="AD412" s="1468">
        <v>3</v>
      </c>
      <c r="AE412" s="1468"/>
    </row>
    <row r="413" spans="1:36" ht="12.9" customHeight="1">
      <c r="E413" t="s">
        <v>108</v>
      </c>
      <c r="S413" s="1374" t="s">
        <v>599</v>
      </c>
      <c r="T413" s="1374"/>
    </row>
    <row r="414" spans="1:36" ht="12.9" customHeight="1">
      <c r="E414" t="s">
        <v>170</v>
      </c>
      <c r="H414" s="1780" t="s">
        <v>335</v>
      </c>
      <c r="I414" s="1780"/>
      <c r="J414" s="1780"/>
      <c r="K414" s="1780"/>
      <c r="L414" s="1780"/>
      <c r="M414" s="1780"/>
      <c r="N414" s="1780"/>
      <c r="O414" s="1780"/>
      <c r="P414" s="1780"/>
      <c r="Q414" s="1780"/>
      <c r="R414" s="1780"/>
      <c r="S414" s="1780"/>
      <c r="T414" s="1780"/>
      <c r="U414" s="1780"/>
      <c r="V414" s="1780"/>
      <c r="W414" s="1780"/>
      <c r="X414" s="1780"/>
      <c r="Y414" s="1780"/>
      <c r="Z414" s="1780"/>
      <c r="AA414" s="1780"/>
      <c r="AB414" s="1780"/>
      <c r="AC414" s="1780"/>
      <c r="AD414" s="1780"/>
      <c r="AE414" s="1780"/>
    </row>
    <row r="415" spans="1:36" ht="12.9" customHeight="1">
      <c r="H415" s="1781"/>
      <c r="I415" s="1781"/>
      <c r="J415" s="1781"/>
      <c r="K415" s="1781"/>
      <c r="L415" s="1781"/>
      <c r="M415" s="1781"/>
      <c r="N415" s="1781"/>
      <c r="O415" s="1781"/>
      <c r="P415" s="1781"/>
      <c r="Q415" s="1781"/>
      <c r="R415" s="1781"/>
      <c r="S415" s="1781"/>
      <c r="T415" s="1781"/>
      <c r="U415" s="1781"/>
      <c r="V415" s="1781"/>
      <c r="W415" s="1781"/>
      <c r="X415" s="1781"/>
      <c r="Y415" s="1781"/>
      <c r="Z415" s="1781"/>
      <c r="AA415" s="1781"/>
      <c r="AB415" s="1781"/>
      <c r="AC415" s="1781"/>
      <c r="AD415" s="1781"/>
      <c r="AE415" s="1781"/>
    </row>
    <row r="416" spans="1:36" ht="12.9" customHeight="1"/>
    <row r="417" spans="1:39" ht="12.9" customHeight="1">
      <c r="A417" s="2" t="s">
        <v>598</v>
      </c>
      <c r="B417" s="2"/>
      <c r="C417" s="2"/>
      <c r="D417" s="2" t="s">
        <v>114</v>
      </c>
      <c r="AF417" s="2" t="s">
        <v>976</v>
      </c>
    </row>
    <row r="418" spans="1:39" ht="12.9" customHeight="1">
      <c r="E418" s="1478"/>
      <c r="F418" s="1478"/>
      <c r="G418" s="1478"/>
      <c r="H418" s="13" t="s">
        <v>115</v>
      </c>
      <c r="I418" s="1478"/>
      <c r="J418" s="1478"/>
      <c r="K418" s="1478"/>
      <c r="L418" t="s">
        <v>116</v>
      </c>
      <c r="N418" s="27" t="s">
        <v>583</v>
      </c>
      <c r="P418" s="1720">
        <v>5.45</v>
      </c>
      <c r="Q418" s="1720"/>
      <c r="R418" s="1720"/>
      <c r="S418" t="s">
        <v>117</v>
      </c>
      <c r="W418" s="1439">
        <f>IF(E418&gt;0,(E418*I418),(P418*43560))</f>
        <v>237402</v>
      </c>
      <c r="X418" s="1439"/>
      <c r="Y418" s="1439"/>
      <c r="Z418" t="s">
        <v>118</v>
      </c>
      <c r="AF418" s="1722">
        <f>IFERROR(IF(P418&gt;0,(AG437/P418),(AG437/(W418/43560))),0)</f>
        <v>30.458715596330276</v>
      </c>
      <c r="AG418" s="1722"/>
      <c r="AH418" s="1722"/>
      <c r="AM418" s="3"/>
    </row>
    <row r="419" spans="1:39" ht="12.9" customHeight="1">
      <c r="E419" t="s">
        <v>51</v>
      </c>
    </row>
    <row r="420" spans="1:39" ht="12.9" customHeight="1">
      <c r="E420" s="1518"/>
      <c r="F420" s="1518"/>
      <c r="G420" s="1518"/>
      <c r="H420" s="1518"/>
      <c r="I420" s="1518"/>
      <c r="J420" s="1518"/>
      <c r="K420" s="1518"/>
      <c r="L420" s="1518"/>
      <c r="M420" s="1518"/>
      <c r="N420" s="1518"/>
      <c r="O420" s="1518"/>
      <c r="P420" s="1518"/>
      <c r="Q420" s="1518"/>
      <c r="R420" s="1518"/>
      <c r="S420" s="1518"/>
      <c r="T420" s="1518"/>
      <c r="U420" s="1518"/>
      <c r="V420" s="1518"/>
      <c r="W420" s="1518"/>
      <c r="X420" s="1518"/>
      <c r="Y420" s="1518"/>
      <c r="Z420" s="1518"/>
      <c r="AA420" s="1518"/>
      <c r="AB420" s="1518"/>
      <c r="AC420" s="1518"/>
      <c r="AD420" s="1518"/>
      <c r="AE420" s="1518"/>
      <c r="AF420" s="1518"/>
      <c r="AG420" s="1518"/>
      <c r="AH420" s="1518"/>
      <c r="AI420" s="1518"/>
      <c r="AJ420" s="1518"/>
    </row>
    <row r="421" spans="1:39" ht="12.9" customHeight="1">
      <c r="E421" s="118" t="s">
        <v>1923</v>
      </c>
      <c r="F421" s="1048"/>
      <c r="G421" s="1048"/>
      <c r="H421" s="1048"/>
      <c r="I421" s="1562">
        <v>4.13</v>
      </c>
      <c r="J421" s="1562"/>
      <c r="K421" s="1562"/>
      <c r="L421" s="1048"/>
      <c r="M421" s="118"/>
      <c r="N421" s="1048"/>
      <c r="O421" s="1048"/>
      <c r="P421" s="1849">
        <f>(CS634+CS642+CS658)/I421</f>
        <v>88.13559322033899</v>
      </c>
      <c r="Q421" s="1849"/>
      <c r="R421" s="1849"/>
      <c r="S421" s="118" t="s">
        <v>1924</v>
      </c>
      <c r="T421" s="1048"/>
      <c r="U421" s="1048"/>
      <c r="V421" s="1048"/>
      <c r="W421" s="1048"/>
      <c r="X421" s="1048"/>
      <c r="Y421" s="1048"/>
      <c r="Z421" s="1048"/>
      <c r="AA421" s="1048"/>
      <c r="AB421" s="1048"/>
      <c r="AC421" s="1048"/>
      <c r="AD421" s="1048"/>
      <c r="AE421" s="1048"/>
      <c r="AF421" s="1048"/>
      <c r="AG421" s="1048"/>
      <c r="AH421" s="1048"/>
      <c r="AI421" s="1048"/>
      <c r="AJ421" s="1048"/>
    </row>
    <row r="422" spans="1:39" ht="12.9" customHeight="1"/>
    <row r="423" spans="1:39" ht="12.9" customHeight="1">
      <c r="A423" s="2" t="s">
        <v>600</v>
      </c>
      <c r="B423" s="2"/>
      <c r="C423" s="2"/>
      <c r="D423" s="2" t="s">
        <v>120</v>
      </c>
    </row>
    <row r="424" spans="1:39" ht="12.9" customHeight="1">
      <c r="E424" t="s">
        <v>121</v>
      </c>
      <c r="P424" s="1374">
        <v>8</v>
      </c>
      <c r="Q424" s="1374"/>
      <c r="S424" t="s">
        <v>190</v>
      </c>
      <c r="AE424" s="1374">
        <v>8</v>
      </c>
      <c r="AF424" s="1374"/>
    </row>
    <row r="425" spans="1:39" ht="12.9" customHeight="1">
      <c r="E425" t="s">
        <v>191</v>
      </c>
      <c r="P425" s="1374">
        <v>0</v>
      </c>
      <c r="Q425" s="1374"/>
      <c r="S425" t="s">
        <v>131</v>
      </c>
      <c r="AE425" s="1374" t="s">
        <v>599</v>
      </c>
      <c r="AF425" s="1374"/>
    </row>
    <row r="426" spans="1:39" ht="12.9" customHeight="1">
      <c r="F426" s="28" t="s">
        <v>132</v>
      </c>
    </row>
    <row r="427" spans="1:39" ht="12.9" customHeight="1">
      <c r="F427" s="1479"/>
      <c r="G427" s="1479"/>
      <c r="H427" s="1479"/>
      <c r="I427" s="1479"/>
      <c r="J427" s="1479"/>
      <c r="K427" s="1479"/>
      <c r="L427" s="1479"/>
      <c r="M427" s="1479"/>
      <c r="N427" s="1479"/>
      <c r="O427" s="1479"/>
      <c r="P427" s="1479"/>
      <c r="Q427" s="1479"/>
      <c r="R427" s="1479"/>
      <c r="S427" s="1479"/>
      <c r="T427" s="1479"/>
      <c r="U427" s="1479"/>
      <c r="V427" s="1479"/>
      <c r="W427" s="1479"/>
      <c r="X427" s="1479"/>
      <c r="Y427" s="1479"/>
      <c r="Z427" s="1479"/>
      <c r="AA427" s="1479"/>
      <c r="AB427" s="1479"/>
      <c r="AC427" s="1479"/>
      <c r="AD427" s="1479"/>
      <c r="AE427" s="1479"/>
      <c r="AF427" s="1479"/>
      <c r="AG427" s="1479"/>
      <c r="AH427" s="1479"/>
    </row>
    <row r="428" spans="1:39" ht="12.9" customHeight="1">
      <c r="F428" s="1480"/>
      <c r="G428" s="1480"/>
      <c r="H428" s="1480"/>
      <c r="I428" s="1480"/>
      <c r="J428" s="1480"/>
      <c r="K428" s="1480"/>
      <c r="L428" s="1480"/>
      <c r="M428" s="1480"/>
      <c r="N428" s="1480"/>
      <c r="O428" s="1480"/>
      <c r="P428" s="1480"/>
      <c r="Q428" s="1480"/>
      <c r="R428" s="1480"/>
      <c r="S428" s="1480"/>
      <c r="T428" s="1480"/>
      <c r="U428" s="1480"/>
      <c r="V428" s="1480"/>
      <c r="W428" s="1480"/>
      <c r="X428" s="1480"/>
      <c r="Y428" s="1480"/>
      <c r="Z428" s="1480"/>
      <c r="AA428" s="1480"/>
      <c r="AB428" s="1480"/>
      <c r="AC428" s="1480"/>
      <c r="AD428" s="1480"/>
      <c r="AE428" s="1480"/>
      <c r="AF428" s="1480"/>
      <c r="AG428" s="1480"/>
      <c r="AH428" s="1480"/>
    </row>
    <row r="429" spans="1:39" ht="12.9" customHeight="1">
      <c r="E429" t="s">
        <v>616</v>
      </c>
      <c r="P429" s="1"/>
      <c r="Q429" s="1374" t="s">
        <v>553</v>
      </c>
      <c r="R429" s="1374"/>
    </row>
    <row r="430" spans="1:39" ht="12.9" customHeight="1">
      <c r="F430" t="s">
        <v>617</v>
      </c>
      <c r="P430" s="1"/>
      <c r="Q430" s="1"/>
      <c r="AF430" s="1374" t="s">
        <v>599</v>
      </c>
      <c r="AG430" s="1488"/>
    </row>
    <row r="431" spans="1:39" ht="12.9" customHeight="1"/>
    <row r="432" spans="1:39" ht="12.9" customHeight="1">
      <c r="A432" s="2"/>
      <c r="B432" s="2"/>
      <c r="C432" s="2"/>
      <c r="E432" s="4" t="s">
        <v>309</v>
      </c>
      <c r="Z432" s="1374" t="s">
        <v>677</v>
      </c>
      <c r="AA432" s="1374"/>
    </row>
    <row r="433" spans="1:110" ht="12.9"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 customHeight="1">
      <c r="F434" t="s">
        <v>716</v>
      </c>
      <c r="G434" s="40"/>
      <c r="I434" s="40"/>
      <c r="J434" s="40"/>
      <c r="K434" s="40"/>
      <c r="L434" s="40"/>
      <c r="M434" s="40"/>
      <c r="N434" s="40"/>
      <c r="O434" s="28"/>
      <c r="P434" s="40"/>
      <c r="Q434" s="40"/>
      <c r="R434" s="40"/>
      <c r="S434" s="40"/>
      <c r="T434" s="40"/>
      <c r="U434" s="40"/>
      <c r="V434" s="40"/>
      <c r="W434" s="40"/>
      <c r="Z434" s="1374" t="s">
        <v>599</v>
      </c>
      <c r="AA434" s="1374"/>
    </row>
    <row r="435" spans="1:110" ht="12.9" customHeight="1"/>
    <row r="436" spans="1:110" ht="12.9" customHeight="1">
      <c r="A436" s="2" t="s">
        <v>475</v>
      </c>
      <c r="B436" s="2"/>
      <c r="C436" s="2"/>
      <c r="D436" s="2" t="s">
        <v>773</v>
      </c>
      <c r="AF436" s="48"/>
    </row>
    <row r="437" spans="1:110" ht="12.9" customHeight="1">
      <c r="D437" s="1481" t="s">
        <v>43</v>
      </c>
      <c r="E437" s="1469"/>
      <c r="F437" s="1469"/>
      <c r="G437" s="1469"/>
      <c r="H437" s="1469"/>
      <c r="I437" s="1469"/>
      <c r="J437" s="1469"/>
      <c r="K437" s="1469"/>
      <c r="L437" s="1469"/>
      <c r="M437" s="1469"/>
      <c r="N437" s="1469"/>
      <c r="O437" s="1469"/>
      <c r="P437" s="1469"/>
      <c r="Q437" s="1469"/>
      <c r="R437" s="1469"/>
      <c r="S437" s="1469"/>
      <c r="T437" s="1469"/>
      <c r="U437" s="1469"/>
      <c r="V437" s="1469"/>
      <c r="W437" s="1469"/>
      <c r="X437" s="1469"/>
      <c r="Y437" s="1469"/>
      <c r="Z437" s="1469"/>
      <c r="AA437" s="1469"/>
      <c r="AB437" s="1469"/>
      <c r="AC437" s="1469"/>
      <c r="AD437" s="1469"/>
      <c r="AE437" s="1469"/>
      <c r="AF437" s="1470"/>
      <c r="AG437" s="1489">
        <v>166</v>
      </c>
      <c r="AH437" s="1472"/>
      <c r="AI437" s="1472"/>
      <c r="AJ437" s="1472"/>
    </row>
    <row r="438" spans="1:110" ht="12.9" customHeight="1">
      <c r="D438" s="1461" t="s">
        <v>1329</v>
      </c>
      <c r="E438" s="1462"/>
      <c r="F438" s="1462"/>
      <c r="G438" s="1462"/>
      <c r="H438" s="1462"/>
      <c r="I438" s="1462"/>
      <c r="J438" s="1462"/>
      <c r="K438" s="1462"/>
      <c r="L438" s="1462"/>
      <c r="M438" s="1462"/>
      <c r="N438" s="1462"/>
      <c r="O438" s="1462"/>
      <c r="P438" s="1462"/>
      <c r="Q438" s="1462"/>
      <c r="R438" s="1462"/>
      <c r="S438" s="1462"/>
      <c r="T438" s="1462"/>
      <c r="U438" s="1462"/>
      <c r="V438" s="1462"/>
      <c r="W438" s="1462"/>
      <c r="X438" s="1462"/>
      <c r="Y438" s="1462"/>
      <c r="Z438" s="1462"/>
      <c r="AA438" s="1462"/>
      <c r="AB438" s="1462"/>
      <c r="AC438" s="1462"/>
      <c r="AD438" s="1462"/>
      <c r="AE438" s="1462"/>
      <c r="AF438" s="1463"/>
      <c r="AG438" s="1489">
        <v>0</v>
      </c>
      <c r="AH438" s="1489"/>
      <c r="AI438" s="1489"/>
      <c r="AJ438" s="1489"/>
    </row>
    <row r="439" spans="1:110" ht="12.9" customHeight="1">
      <c r="D439" s="1461" t="s">
        <v>1055</v>
      </c>
      <c r="E439" s="1462"/>
      <c r="F439" s="1462"/>
      <c r="G439" s="1462"/>
      <c r="H439" s="1462"/>
      <c r="I439" s="1462"/>
      <c r="J439" s="1462"/>
      <c r="K439" s="1462"/>
      <c r="L439" s="1462"/>
      <c r="M439" s="1462"/>
      <c r="N439" s="1462"/>
      <c r="O439" s="1462"/>
      <c r="P439" s="1462"/>
      <c r="Q439" s="1462"/>
      <c r="R439" s="1462"/>
      <c r="S439" s="1462"/>
      <c r="T439" s="1462"/>
      <c r="U439" s="1462"/>
      <c r="V439" s="1462"/>
      <c r="W439" s="1462"/>
      <c r="X439" s="1462"/>
      <c r="Y439" s="1462"/>
      <c r="Z439" s="1462"/>
      <c r="AA439" s="1462"/>
      <c r="AB439" s="1462"/>
      <c r="AC439" s="1462"/>
      <c r="AD439" s="1462"/>
      <c r="AE439" s="1462"/>
      <c r="AF439" s="1463"/>
      <c r="AG439" s="1472">
        <v>164</v>
      </c>
      <c r="AH439" s="1472"/>
      <c r="AI439" s="1472"/>
      <c r="AJ439" s="1472"/>
    </row>
    <row r="440" spans="1:110" ht="12.9" customHeight="1">
      <c r="D440" s="1461" t="s">
        <v>1056</v>
      </c>
      <c r="E440" s="1462"/>
      <c r="F440" s="1462"/>
      <c r="G440" s="1462"/>
      <c r="H440" s="1462"/>
      <c r="I440" s="1462"/>
      <c r="J440" s="1462"/>
      <c r="K440" s="1462"/>
      <c r="L440" s="1462"/>
      <c r="M440" s="1462"/>
      <c r="N440" s="1462"/>
      <c r="O440" s="1462"/>
      <c r="P440" s="1462"/>
      <c r="Q440" s="1462"/>
      <c r="R440" s="1462"/>
      <c r="S440" s="1462"/>
      <c r="T440" s="1462"/>
      <c r="U440" s="1462"/>
      <c r="V440" s="1462"/>
      <c r="W440" s="1462"/>
      <c r="X440" s="1462"/>
      <c r="Y440" s="1462"/>
      <c r="Z440" s="1462"/>
      <c r="AA440" s="1462"/>
      <c r="AB440" s="1462"/>
      <c r="AC440" s="1462"/>
      <c r="AD440" s="1462"/>
      <c r="AE440" s="1462"/>
      <c r="AF440" s="1463"/>
      <c r="AG440" s="1472">
        <v>164</v>
      </c>
      <c r="AH440" s="1472"/>
      <c r="AI440" s="1472"/>
      <c r="AJ440" s="1472"/>
    </row>
    <row r="441" spans="1:110" ht="12.9" customHeight="1">
      <c r="D441" s="1461" t="s">
        <v>1058</v>
      </c>
      <c r="E441" s="1462"/>
      <c r="F441" s="1462"/>
      <c r="G441" s="1462"/>
      <c r="H441" s="1462"/>
      <c r="I441" s="1462"/>
      <c r="J441" s="1462"/>
      <c r="K441" s="1462"/>
      <c r="L441" s="1462"/>
      <c r="M441" s="1462"/>
      <c r="N441" s="1462"/>
      <c r="O441" s="1462"/>
      <c r="P441" s="1462"/>
      <c r="Q441" s="1462"/>
      <c r="R441" s="1462"/>
      <c r="S441" s="1462"/>
      <c r="T441" s="1462"/>
      <c r="U441" s="1462"/>
      <c r="V441" s="1462"/>
      <c r="W441" s="1462"/>
      <c r="X441" s="1462"/>
      <c r="Y441" s="1462"/>
      <c r="Z441" s="1462"/>
      <c r="AA441" s="1462"/>
      <c r="AB441" s="1462"/>
      <c r="AC441" s="1462"/>
      <c r="AD441" s="1462"/>
      <c r="AE441" s="1462"/>
      <c r="AF441" s="1463"/>
      <c r="AG441" s="1471">
        <f>IF(ISERROR(AG440/AG439),"",AG440/AG439)</f>
        <v>1</v>
      </c>
      <c r="AH441" s="1471"/>
      <c r="AI441" s="1471"/>
      <c r="AJ441" s="1471"/>
    </row>
    <row r="442" spans="1:110" ht="12.9" customHeight="1">
      <c r="D442" s="1461" t="s">
        <v>1057</v>
      </c>
      <c r="E442" s="1462"/>
      <c r="F442" s="1462"/>
      <c r="G442" s="1462"/>
      <c r="H442" s="1462"/>
      <c r="I442" s="1462"/>
      <c r="J442" s="1462"/>
      <c r="K442" s="1462"/>
      <c r="L442" s="1462"/>
      <c r="M442" s="1462"/>
      <c r="N442" s="1462"/>
      <c r="O442" s="1462"/>
      <c r="P442" s="1462"/>
      <c r="Q442" s="1462"/>
      <c r="R442" s="1462"/>
      <c r="S442" s="1462"/>
      <c r="T442" s="1462"/>
      <c r="U442" s="1462"/>
      <c r="V442" s="1462"/>
      <c r="W442" s="1462"/>
      <c r="X442" s="1462"/>
      <c r="Y442" s="1462"/>
      <c r="Z442" s="1462"/>
      <c r="AA442" s="1462"/>
      <c r="AB442" s="1462"/>
      <c r="AC442" s="1462"/>
      <c r="AD442" s="1462"/>
      <c r="AE442" s="1462"/>
      <c r="AF442" s="1463"/>
      <c r="AG442" s="1443">
        <v>155777</v>
      </c>
      <c r="AH442" s="1443"/>
      <c r="AI442" s="1443"/>
      <c r="AJ442" s="1443"/>
    </row>
    <row r="443" spans="1:110" ht="12.9" customHeight="1">
      <c r="D443" s="1461" t="s">
        <v>1059</v>
      </c>
      <c r="E443" s="1462"/>
      <c r="F443" s="1462"/>
      <c r="G443" s="1462"/>
      <c r="H443" s="1462"/>
      <c r="I443" s="1462"/>
      <c r="J443" s="1462"/>
      <c r="K443" s="1462"/>
      <c r="L443" s="1462"/>
      <c r="M443" s="1462"/>
      <c r="N443" s="1462"/>
      <c r="O443" s="1462"/>
      <c r="P443" s="1462"/>
      <c r="Q443" s="1462"/>
      <c r="R443" s="1462"/>
      <c r="S443" s="1462"/>
      <c r="T443" s="1462"/>
      <c r="U443" s="1462"/>
      <c r="V443" s="1462"/>
      <c r="W443" s="1462"/>
      <c r="X443" s="1462"/>
      <c r="Y443" s="1462"/>
      <c r="Z443" s="1462"/>
      <c r="AA443" s="1462"/>
      <c r="AB443" s="1462"/>
      <c r="AC443" s="1462"/>
      <c r="AD443" s="1462"/>
      <c r="AE443" s="1462"/>
      <c r="AF443" s="1463"/>
      <c r="AG443" s="1443">
        <v>155777</v>
      </c>
      <c r="AH443" s="1443"/>
      <c r="AI443" s="1443"/>
      <c r="AJ443" s="1443"/>
    </row>
    <row r="444" spans="1:110" ht="12.9" customHeight="1">
      <c r="D444" s="1461" t="s">
        <v>1060</v>
      </c>
      <c r="E444" s="1462"/>
      <c r="F444" s="1462"/>
      <c r="G444" s="1462"/>
      <c r="H444" s="1462"/>
      <c r="I444" s="1462"/>
      <c r="J444" s="1462"/>
      <c r="K444" s="1462"/>
      <c r="L444" s="1462"/>
      <c r="M444" s="1462"/>
      <c r="N444" s="1462"/>
      <c r="O444" s="1462"/>
      <c r="P444" s="1462"/>
      <c r="Q444" s="1462"/>
      <c r="R444" s="1462"/>
      <c r="S444" s="1462"/>
      <c r="T444" s="1462"/>
      <c r="U444" s="1462"/>
      <c r="V444" s="1462"/>
      <c r="W444" s="1462"/>
      <c r="X444" s="1462"/>
      <c r="Y444" s="1462"/>
      <c r="Z444" s="1462"/>
      <c r="AA444" s="1462"/>
      <c r="AB444" s="1462"/>
      <c r="AC444" s="1462"/>
      <c r="AD444" s="1462"/>
      <c r="AE444" s="1462"/>
      <c r="AF444" s="1463"/>
      <c r="AG444" s="1471">
        <f>IF(ISERROR(AG443/AG442),"",AG443/AG442)</f>
        <v>1</v>
      </c>
      <c r="AH444" s="1471"/>
      <c r="AI444" s="1471"/>
      <c r="AJ444" s="1471"/>
    </row>
    <row r="445" spans="1:110" ht="12.9" customHeight="1">
      <c r="D445" s="1461" t="s">
        <v>1061</v>
      </c>
      <c r="E445" s="1462"/>
      <c r="F445" s="1462"/>
      <c r="G445" s="1462"/>
      <c r="H445" s="1462"/>
      <c r="I445" s="1462"/>
      <c r="J445" s="1462"/>
      <c r="K445" s="1462"/>
      <c r="L445" s="1462"/>
      <c r="M445" s="1462"/>
      <c r="N445" s="1462"/>
      <c r="O445" s="1462"/>
      <c r="P445" s="1462"/>
      <c r="Q445" s="1462"/>
      <c r="R445" s="1462"/>
      <c r="S445" s="1462"/>
      <c r="T445" s="1462"/>
      <c r="U445" s="1462"/>
      <c r="V445" s="1462"/>
      <c r="W445" s="1462"/>
      <c r="X445" s="1462"/>
      <c r="Y445" s="1462"/>
      <c r="Z445" s="1462"/>
      <c r="AA445" s="1462"/>
      <c r="AB445" s="1462"/>
      <c r="AC445" s="1462"/>
      <c r="AD445" s="1462"/>
      <c r="AE445" s="1462"/>
      <c r="AF445" s="1463"/>
      <c r="AG445" s="1471">
        <f>MIN(IF(AG441&gt;AG444,AG444,AG441),1)</f>
        <v>1</v>
      </c>
      <c r="AH445" s="1471"/>
      <c r="AI445" s="1471"/>
      <c r="AJ445" s="1471"/>
    </row>
    <row r="446" spans="1:110" ht="12.9" customHeight="1">
      <c r="D446" s="1461" t="s">
        <v>2401</v>
      </c>
      <c r="E446" s="1469"/>
      <c r="F446" s="1469"/>
      <c r="G446" s="1469"/>
      <c r="H446" s="1469"/>
      <c r="I446" s="1469"/>
      <c r="J446" s="1469"/>
      <c r="K446" s="1469"/>
      <c r="L446" s="1469"/>
      <c r="M446" s="1469"/>
      <c r="N446" s="1469"/>
      <c r="O446" s="1469"/>
      <c r="P446" s="1469"/>
      <c r="Q446" s="1469"/>
      <c r="R446" s="1469"/>
      <c r="S446" s="1469"/>
      <c r="T446" s="1469"/>
      <c r="U446" s="1469"/>
      <c r="V446" s="1469"/>
      <c r="W446" s="1469"/>
      <c r="X446" s="1469"/>
      <c r="Y446" s="1469"/>
      <c r="Z446" s="1469"/>
      <c r="AA446" s="1469"/>
      <c r="AB446" s="1469"/>
      <c r="AC446" s="1469"/>
      <c r="AD446" s="1469"/>
      <c r="AE446" s="1469"/>
      <c r="AF446" s="1470"/>
      <c r="AG446" s="1443">
        <v>1895</v>
      </c>
      <c r="AH446" s="1443"/>
      <c r="AI446" s="1443"/>
      <c r="AJ446" s="144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481" t="s">
        <v>577</v>
      </c>
      <c r="E447" s="1469"/>
      <c r="F447" s="1469"/>
      <c r="G447" s="1469"/>
      <c r="H447" s="1469"/>
      <c r="I447" s="1469"/>
      <c r="J447" s="1469"/>
      <c r="K447" s="1469"/>
      <c r="L447" s="1469"/>
      <c r="M447" s="1469"/>
      <c r="N447" s="1469"/>
      <c r="O447" s="1469"/>
      <c r="P447" s="1469"/>
      <c r="Q447" s="1469"/>
      <c r="R447" s="1469"/>
      <c r="S447" s="1469"/>
      <c r="T447" s="1469"/>
      <c r="U447" s="1469"/>
      <c r="V447" s="1469"/>
      <c r="W447" s="1469"/>
      <c r="X447" s="1469"/>
      <c r="Y447" s="1469"/>
      <c r="Z447" s="1469"/>
      <c r="AA447" s="1469"/>
      <c r="AB447" s="1469"/>
      <c r="AC447" s="1469"/>
      <c r="AD447" s="1469"/>
      <c r="AE447" s="1469"/>
      <c r="AF447" s="1470"/>
      <c r="AG447" s="1443">
        <v>0</v>
      </c>
      <c r="AH447" s="1443"/>
      <c r="AI447" s="1443"/>
      <c r="AJ447" s="144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461" t="s">
        <v>1311</v>
      </c>
      <c r="E448" s="1469"/>
      <c r="F448" s="1469"/>
      <c r="G448" s="1469"/>
      <c r="H448" s="1469"/>
      <c r="I448" s="1469"/>
      <c r="J448" s="1469"/>
      <c r="K448" s="1469"/>
      <c r="L448" s="1469"/>
      <c r="M448" s="1469"/>
      <c r="N448" s="1469"/>
      <c r="O448" s="1469"/>
      <c r="P448" s="1469"/>
      <c r="Q448" s="1469"/>
      <c r="R448" s="1469"/>
      <c r="S448" s="1469"/>
      <c r="T448" s="1469"/>
      <c r="U448" s="1469"/>
      <c r="V448" s="1469"/>
      <c r="W448" s="1469"/>
      <c r="X448" s="1469"/>
      <c r="Y448" s="1469"/>
      <c r="Z448" s="1469"/>
      <c r="AA448" s="1469"/>
      <c r="AB448" s="1469"/>
      <c r="AC448" s="1469"/>
      <c r="AD448" s="1469"/>
      <c r="AE448" s="1469"/>
      <c r="AF448" s="1470"/>
      <c r="AG448" s="1443">
        <v>3946</v>
      </c>
      <c r="AH448" s="1443"/>
      <c r="AI448" s="1443"/>
      <c r="AJ448" s="144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461" t="s">
        <v>1062</v>
      </c>
      <c r="E449" s="1469"/>
      <c r="F449" s="1469"/>
      <c r="G449" s="1469"/>
      <c r="H449" s="1469"/>
      <c r="I449" s="1469"/>
      <c r="J449" s="1469"/>
      <c r="K449" s="1469"/>
      <c r="L449" s="1469"/>
      <c r="M449" s="1469"/>
      <c r="N449" s="1469"/>
      <c r="O449" s="1469"/>
      <c r="P449" s="1469"/>
      <c r="Q449" s="1469"/>
      <c r="R449" s="1469"/>
      <c r="S449" s="1469"/>
      <c r="T449" s="1469"/>
      <c r="U449" s="1469"/>
      <c r="V449" s="1469"/>
      <c r="W449" s="1469"/>
      <c r="X449" s="1469"/>
      <c r="Y449" s="1469"/>
      <c r="Z449" s="1469"/>
      <c r="AA449" s="1469"/>
      <c r="AB449" s="1469"/>
      <c r="AC449" s="1469"/>
      <c r="AD449" s="1469"/>
      <c r="AE449" s="1469"/>
      <c r="AF449" s="1470"/>
      <c r="AG449" s="1443">
        <v>0</v>
      </c>
      <c r="AH449" s="1443"/>
      <c r="AI449" s="1443"/>
      <c r="AJ449" s="144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482" t="s">
        <v>1063</v>
      </c>
      <c r="E450" s="1483"/>
      <c r="F450" s="1483"/>
      <c r="G450" s="1483"/>
      <c r="H450" s="1483"/>
      <c r="I450" s="1483"/>
      <c r="J450" s="1483"/>
      <c r="K450" s="1483"/>
      <c r="L450" s="1483"/>
      <c r="M450" s="1483"/>
      <c r="N450" s="1483"/>
      <c r="O450" s="1483"/>
      <c r="P450" s="1483"/>
      <c r="Q450" s="1483"/>
      <c r="R450" s="1483"/>
      <c r="S450" s="1483"/>
      <c r="T450" s="1483"/>
      <c r="U450" s="1483"/>
      <c r="V450" s="1483"/>
      <c r="W450" s="1483"/>
      <c r="X450" s="1483"/>
      <c r="Y450" s="1483"/>
      <c r="Z450" s="1483"/>
      <c r="AA450" s="1483"/>
      <c r="AB450" s="1483"/>
      <c r="AC450" s="1483"/>
      <c r="AD450" s="1483"/>
      <c r="AE450" s="1483"/>
      <c r="AF450" s="1484"/>
      <c r="AG450" s="1473">
        <f>AG442+AG446+AG448+AG449</f>
        <v>161618</v>
      </c>
      <c r="AH450" s="1473"/>
      <c r="AI450" s="1473"/>
      <c r="AJ450" s="147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485" t="s">
        <v>1312</v>
      </c>
      <c r="E451" s="1485"/>
      <c r="F451" s="1485"/>
      <c r="G451" s="1485"/>
      <c r="H451" s="1485"/>
      <c r="I451" s="1485"/>
      <c r="J451" s="1485"/>
      <c r="K451" s="1485"/>
      <c r="L451" s="1485"/>
      <c r="M451" s="1485"/>
      <c r="N451" s="1485"/>
      <c r="O451" s="1485"/>
      <c r="P451" s="1485"/>
      <c r="Q451" s="1485"/>
      <c r="R451" s="1485"/>
      <c r="S451" s="1485"/>
      <c r="T451" s="1485"/>
      <c r="U451" s="1485"/>
      <c r="V451" s="1485"/>
      <c r="W451" s="1485"/>
      <c r="X451" s="1485"/>
      <c r="Y451" s="1485"/>
      <c r="Z451" s="1485"/>
      <c r="AA451" s="1485"/>
      <c r="AB451" s="1485"/>
      <c r="AC451" s="1485"/>
      <c r="AD451" s="1485"/>
      <c r="AE451" s="1485"/>
      <c r="AF451" s="1485"/>
      <c r="AG451" s="1485"/>
      <c r="AH451" s="1485"/>
      <c r="AI451" s="1485"/>
      <c r="AJ451" s="148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486"/>
      <c r="E452" s="1486"/>
      <c r="F452" s="1486"/>
      <c r="G452" s="1486"/>
      <c r="H452" s="1486"/>
      <c r="I452" s="1486"/>
      <c r="J452" s="1486"/>
      <c r="K452" s="1486"/>
      <c r="L452" s="1486"/>
      <c r="M452" s="1486"/>
      <c r="N452" s="1486"/>
      <c r="O452" s="1486"/>
      <c r="P452" s="1486"/>
      <c r="Q452" s="1486"/>
      <c r="R452" s="1486"/>
      <c r="S452" s="1486"/>
      <c r="T452" s="1486"/>
      <c r="U452" s="1486"/>
      <c r="V452" s="1486"/>
      <c r="W452" s="1486"/>
      <c r="X452" s="1486"/>
      <c r="Y452" s="1486"/>
      <c r="Z452" s="1486"/>
      <c r="AA452" s="1486"/>
      <c r="AB452" s="1486"/>
      <c r="AC452" s="1486"/>
      <c r="AD452" s="1486"/>
      <c r="AE452" s="1486"/>
      <c r="AF452" s="1486"/>
      <c r="AG452" s="1486"/>
      <c r="AH452" s="1486"/>
      <c r="AI452" s="1486"/>
      <c r="AJ452" s="148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60">
        <f>IF(AG437=0,"",'Sources and Uses Budget'!B105/Application!AG437)</f>
        <v>481676.27108433732</v>
      </c>
      <c r="AD454" s="1460"/>
      <c r="AE454" s="1460"/>
      <c r="AF454" s="146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60">
        <f>IF(AG437=0,"",'Sources and Uses Budget'!C105/Application!AG437)</f>
        <v>481676.27108433732</v>
      </c>
      <c r="AD455" s="1460"/>
      <c r="AE455" s="1460"/>
      <c r="AF455" s="14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60">
        <f>IF(AG437=0,"",('Sources and Uses Budget'!$S$107+'Sources and Uses Budget'!$T$107)/Application!AG437)</f>
        <v>425902.65060240962</v>
      </c>
      <c r="AD456" s="1460"/>
      <c r="AE456" s="1460"/>
      <c r="AF456" s="146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186"/>
      <c r="E457" s="186"/>
      <c r="F457" s="1474" t="str">
        <f>IFERROR(IF(AC454&gt;650000,"Please provide a justification of cost per unit in Tab 12 for all projects with per unit costs of greater than $650,000.",""),"")</f>
        <v/>
      </c>
      <c r="G457" s="1474"/>
      <c r="H457" s="1474"/>
      <c r="I457" s="1474"/>
      <c r="J457" s="1474"/>
      <c r="K457" s="1474"/>
      <c r="L457" s="1474"/>
      <c r="M457" s="1474"/>
      <c r="N457" s="1474"/>
      <c r="O457" s="1474"/>
      <c r="P457" s="1474"/>
      <c r="Q457" s="1474"/>
      <c r="R457" s="1474"/>
      <c r="S457" s="1474"/>
      <c r="T457" s="1474"/>
      <c r="U457" s="1474"/>
      <c r="V457" s="1474"/>
      <c r="W457" s="1474"/>
      <c r="X457" s="1474"/>
      <c r="Y457" s="1474"/>
      <c r="Z457" s="1474"/>
      <c r="AA457" s="1474"/>
      <c r="AB457" s="147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186"/>
      <c r="F458" s="1474"/>
      <c r="G458" s="1474"/>
      <c r="H458" s="1474"/>
      <c r="I458" s="1474"/>
      <c r="J458" s="1474"/>
      <c r="K458" s="1474"/>
      <c r="L458" s="1474"/>
      <c r="M458" s="1474"/>
      <c r="N458" s="1474"/>
      <c r="O458" s="1474"/>
      <c r="P458" s="1474"/>
      <c r="Q458" s="1474"/>
      <c r="R458" s="1474"/>
      <c r="S458" s="1474"/>
      <c r="T458" s="1474"/>
      <c r="U458" s="1474"/>
      <c r="V458" s="1474"/>
      <c r="W458" s="1474"/>
      <c r="X458" s="1474"/>
      <c r="Y458" s="1474"/>
      <c r="Z458" s="1474"/>
      <c r="AA458" s="1474"/>
      <c r="AB458" s="147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423" t="s">
        <v>2415</v>
      </c>
      <c r="E465" s="1458"/>
      <c r="F465" s="1458"/>
      <c r="G465" s="1458"/>
      <c r="H465" s="1458"/>
      <c r="I465" s="1458"/>
      <c r="J465" s="1458"/>
      <c r="K465" s="1458"/>
      <c r="L465" s="1458"/>
      <c r="M465" s="1458"/>
      <c r="N465" s="1458"/>
      <c r="O465" s="1458"/>
      <c r="P465" s="1458"/>
      <c r="Q465" s="1458"/>
      <c r="R465" s="1458"/>
      <c r="S465" s="1458"/>
      <c r="T465" s="1458"/>
      <c r="U465" s="1458"/>
      <c r="V465" s="1459"/>
      <c r="W465" s="1426">
        <v>0</v>
      </c>
      <c r="X465" s="1427"/>
      <c r="Y465" s="142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475" t="s">
        <v>702</v>
      </c>
      <c r="E466" s="1458"/>
      <c r="F466" s="1458"/>
      <c r="G466" s="1458"/>
      <c r="H466" s="1458"/>
      <c r="I466" s="1458"/>
      <c r="J466" s="1458"/>
      <c r="K466" s="1458"/>
      <c r="L466" s="1458"/>
      <c r="M466" s="1458"/>
      <c r="N466" s="1458"/>
      <c r="O466" s="1458"/>
      <c r="P466" s="1458"/>
      <c r="Q466" s="1458"/>
      <c r="R466" s="1458"/>
      <c r="S466" s="1458"/>
      <c r="T466" s="1458"/>
      <c r="U466" s="1458"/>
      <c r="V466" s="1459"/>
      <c r="W466" s="1426">
        <v>0</v>
      </c>
      <c r="X466" s="1427"/>
      <c r="Y466" s="142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475" t="s">
        <v>703</v>
      </c>
      <c r="E467" s="1458"/>
      <c r="F467" s="1458"/>
      <c r="G467" s="1458"/>
      <c r="H467" s="1458"/>
      <c r="I467" s="1458"/>
      <c r="J467" s="1458"/>
      <c r="K467" s="1458"/>
      <c r="L467" s="1458"/>
      <c r="M467" s="1458"/>
      <c r="N467" s="1458"/>
      <c r="O467" s="1458"/>
      <c r="P467" s="1458"/>
      <c r="Q467" s="1458"/>
      <c r="R467" s="1458"/>
      <c r="S467" s="1458"/>
      <c r="T467" s="1458"/>
      <c r="U467" s="1458"/>
      <c r="V467" s="1459"/>
      <c r="W467" s="1426">
        <v>0</v>
      </c>
      <c r="X467" s="1427"/>
      <c r="Y467" s="142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475" t="s">
        <v>704</v>
      </c>
      <c r="E468" s="1458"/>
      <c r="F468" s="1458"/>
      <c r="G468" s="1458"/>
      <c r="H468" s="1458"/>
      <c r="I468" s="1458"/>
      <c r="J468" s="1458"/>
      <c r="K468" s="1458"/>
      <c r="L468" s="1458"/>
      <c r="M468" s="1458"/>
      <c r="N468" s="1458"/>
      <c r="O468" s="1458"/>
      <c r="P468" s="1458"/>
      <c r="Q468" s="1458"/>
      <c r="R468" s="1458"/>
      <c r="S468" s="1458"/>
      <c r="T468" s="1458"/>
      <c r="U468" s="1458"/>
      <c r="V468" s="1459"/>
      <c r="W468" s="1426">
        <v>0</v>
      </c>
      <c r="X468" s="1427"/>
      <c r="Y468" s="142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475" t="s">
        <v>893</v>
      </c>
      <c r="E469" s="1458"/>
      <c r="F469" s="1458"/>
      <c r="G469" s="1458"/>
      <c r="H469" s="1458"/>
      <c r="I469" s="1458"/>
      <c r="J469" s="1458"/>
      <c r="K469" s="1458"/>
      <c r="L469" s="1458"/>
      <c r="M469" s="1458"/>
      <c r="N469" s="1458"/>
      <c r="O469" s="1458"/>
      <c r="P469" s="1458"/>
      <c r="Q469" s="1458"/>
      <c r="R469" s="1458"/>
      <c r="S469" s="1458"/>
      <c r="T469" s="1458"/>
      <c r="U469" s="1458"/>
      <c r="V469" s="1459"/>
      <c r="W469" s="1426">
        <v>0</v>
      </c>
      <c r="X469" s="1427"/>
      <c r="Y469" s="142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475" t="s">
        <v>705</v>
      </c>
      <c r="E470" s="1458"/>
      <c r="F470" s="1458"/>
      <c r="G470" s="1458"/>
      <c r="H470" s="1458"/>
      <c r="I470" s="1458"/>
      <c r="J470" s="1458"/>
      <c r="K470" s="1458"/>
      <c r="L470" s="1458"/>
      <c r="M470" s="1458"/>
      <c r="N470" s="1458"/>
      <c r="O470" s="1458"/>
      <c r="P470" s="1458"/>
      <c r="Q470" s="1458"/>
      <c r="R470" s="1458"/>
      <c r="S470" s="1458"/>
      <c r="T470" s="1458"/>
      <c r="U470" s="1458"/>
      <c r="V470" s="1459"/>
      <c r="W470" s="1426">
        <v>0</v>
      </c>
      <c r="X470" s="1427"/>
      <c r="Y470" s="142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475" t="s">
        <v>1036</v>
      </c>
      <c r="E471" s="1458"/>
      <c r="F471" s="1458"/>
      <c r="G471" s="1458"/>
      <c r="H471" s="1458"/>
      <c r="I471" s="1458"/>
      <c r="J471" s="1458"/>
      <c r="K471" s="1458"/>
      <c r="L471" s="1458"/>
      <c r="M471" s="1458"/>
      <c r="N471" s="1458"/>
      <c r="O471" s="1458"/>
      <c r="P471" s="1458"/>
      <c r="Q471" s="1458"/>
      <c r="R471" s="1458"/>
      <c r="S471" s="1458"/>
      <c r="T471" s="1458"/>
      <c r="U471" s="1458"/>
      <c r="V471" s="1459"/>
      <c r="W471" s="1426">
        <v>0</v>
      </c>
      <c r="X471" s="1427"/>
      <c r="Y471" s="142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423" t="s">
        <v>2552</v>
      </c>
      <c r="E472" s="1424"/>
      <c r="F472" s="1424"/>
      <c r="G472" s="1424"/>
      <c r="H472" s="1424"/>
      <c r="I472" s="1424"/>
      <c r="J472" s="1424"/>
      <c r="K472" s="1424"/>
      <c r="L472" s="1424"/>
      <c r="M472" s="1424"/>
      <c r="N472" s="1424"/>
      <c r="O472" s="1424"/>
      <c r="P472" s="1424"/>
      <c r="Q472" s="1424"/>
      <c r="R472" s="1424"/>
      <c r="S472" s="1424"/>
      <c r="T472" s="1424"/>
      <c r="U472" s="1424"/>
      <c r="V472" s="1425"/>
      <c r="W472" s="1426">
        <v>0</v>
      </c>
      <c r="X472" s="1427"/>
      <c r="Y472" s="142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423" t="s">
        <v>1767</v>
      </c>
      <c r="E473" s="1458"/>
      <c r="F473" s="1458"/>
      <c r="G473" s="1458"/>
      <c r="H473" s="1458"/>
      <c r="I473" s="1458"/>
      <c r="J473" s="1458"/>
      <c r="K473" s="1458"/>
      <c r="L473" s="1458"/>
      <c r="M473" s="1458"/>
      <c r="N473" s="1458"/>
      <c r="O473" s="1458"/>
      <c r="P473" s="1458"/>
      <c r="Q473" s="1458"/>
      <c r="R473" s="1458"/>
      <c r="S473" s="1458"/>
      <c r="T473" s="1458"/>
      <c r="U473" s="1458"/>
      <c r="V473" s="1459"/>
      <c r="W473" s="1426"/>
      <c r="X473" s="1427"/>
      <c r="Y473" s="142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1" t="s">
        <v>170</v>
      </c>
      <c r="E474" s="262"/>
      <c r="F474" s="263"/>
      <c r="G474" s="1514"/>
      <c r="H474" s="1515"/>
      <c r="I474" s="1515"/>
      <c r="J474" s="1515"/>
      <c r="K474" s="1515"/>
      <c r="L474" s="1515"/>
      <c r="M474" s="1515"/>
      <c r="N474" s="1515"/>
      <c r="O474" s="1515"/>
      <c r="P474" s="1515"/>
      <c r="Q474" s="1515"/>
      <c r="R474" s="1515"/>
      <c r="S474" s="1515"/>
      <c r="T474" s="1515"/>
      <c r="U474" s="1515"/>
      <c r="V474" s="1516"/>
      <c r="W474" s="1426"/>
      <c r="X474" s="1427"/>
      <c r="Y474" s="142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661" t="s">
        <v>819</v>
      </c>
      <c r="B480" s="1661"/>
      <c r="C480" s="1661"/>
      <c r="D480" s="1661"/>
      <c r="E480" s="1661"/>
      <c r="F480" s="1661"/>
      <c r="G480" s="1661"/>
      <c r="H480" s="1661"/>
      <c r="I480" s="1661"/>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661"/>
      <c r="AD480" s="1661"/>
      <c r="AE480" s="1661"/>
      <c r="AF480" s="1661"/>
      <c r="AG480" s="1661"/>
      <c r="AH480" s="1661"/>
      <c r="AI480" s="1661"/>
      <c r="AJ480" s="1661"/>
      <c r="AK480" s="1661"/>
      <c r="AL480" s="1661"/>
      <c r="AM480" s="1661"/>
      <c r="AN480" s="1661"/>
      <c r="AO480" s="1661"/>
      <c r="AP480" s="1661"/>
      <c r="AQ480" s="1661"/>
      <c r="AR480" s="1661"/>
      <c r="AS480" s="1661"/>
      <c r="AT480" s="166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661"/>
      <c r="B481" s="1661"/>
      <c r="C481" s="1661"/>
      <c r="D481" s="1661"/>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661"/>
      <c r="AD481" s="1661"/>
      <c r="AE481" s="1661"/>
      <c r="AF481" s="1661"/>
      <c r="AG481" s="1661"/>
      <c r="AH481" s="1661"/>
      <c r="AI481" s="1661"/>
      <c r="AJ481" s="1661"/>
      <c r="AK481" s="1661"/>
      <c r="AL481" s="1661"/>
      <c r="AM481" s="1661"/>
      <c r="AN481" s="1661"/>
      <c r="AO481" s="1661"/>
      <c r="AP481" s="1661"/>
      <c r="AQ481" s="1661"/>
      <c r="AR481" s="1661"/>
      <c r="AS481" s="1661"/>
      <c r="AT481" s="166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c r="C485" s="5"/>
      <c r="D485" s="5"/>
      <c r="E485" s="5"/>
      <c r="F485" s="5"/>
      <c r="G485" s="5"/>
      <c r="H485" s="5"/>
      <c r="I485" s="5"/>
      <c r="J485" s="5"/>
      <c r="K485" s="5"/>
      <c r="L485" s="5"/>
      <c r="M485" s="5"/>
      <c r="N485" s="5"/>
      <c r="O485" s="5"/>
      <c r="P485" s="46"/>
      <c r="Q485" s="1447" t="s">
        <v>394</v>
      </c>
      <c r="R485" s="1448"/>
      <c r="S485" s="1448"/>
      <c r="T485" s="1448"/>
      <c r="U485" s="1448"/>
      <c r="V485" s="1448"/>
      <c r="W485" s="1448"/>
      <c r="X485" s="1448"/>
      <c r="Y485" s="1448"/>
      <c r="Z485" s="1448"/>
      <c r="AA485" s="1448"/>
      <c r="AB485" s="1448"/>
      <c r="AC485" s="1448"/>
      <c r="AD485" s="1448"/>
      <c r="AE485" s="1448"/>
      <c r="AF485" s="1448"/>
      <c r="AG485" s="1448"/>
      <c r="AH485" s="1448"/>
      <c r="AI485" s="1448"/>
      <c r="AJ485" s="1448"/>
      <c r="AK485" s="144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395</v>
      </c>
      <c r="C486" s="5"/>
      <c r="D486" s="5"/>
      <c r="E486" s="5"/>
      <c r="F486" s="5"/>
      <c r="G486" s="5"/>
      <c r="H486" s="5"/>
      <c r="I486" s="5"/>
      <c r="J486" s="5"/>
      <c r="K486" s="5"/>
      <c r="L486" s="5"/>
      <c r="M486" s="5"/>
      <c r="N486" s="5"/>
      <c r="O486" s="5"/>
      <c r="P486" s="5"/>
      <c r="Q486" s="1450" t="s">
        <v>2741</v>
      </c>
      <c r="R486" s="1376"/>
      <c r="S486" s="1376"/>
      <c r="T486" s="1376"/>
      <c r="U486" s="1376"/>
      <c r="V486" s="1376"/>
      <c r="W486" s="1376"/>
      <c r="X486" s="1376"/>
      <c r="Y486" s="1376"/>
      <c r="Z486" s="1376"/>
      <c r="AA486" s="1376"/>
      <c r="AB486" s="1376"/>
      <c r="AC486" s="1376"/>
      <c r="AD486" s="1376"/>
      <c r="AE486" s="1376"/>
      <c r="AF486" s="1376"/>
      <c r="AG486" s="1376"/>
      <c r="AH486" s="1376"/>
      <c r="AI486" s="1376"/>
      <c r="AJ486" s="1376"/>
      <c r="AK486" s="1451"/>
      <c r="AZ486" s="3"/>
      <c r="BB486" s="3"/>
      <c r="BC486" s="3"/>
      <c r="BD486" s="3"/>
      <c r="BE486" s="3"/>
      <c r="BF486" s="3"/>
      <c r="BG486" s="3"/>
      <c r="BH486" s="3"/>
      <c r="BI486" s="3"/>
      <c r="BJ486" s="3"/>
      <c r="BK486" s="3"/>
      <c r="BL486" s="3"/>
      <c r="BM486" s="3"/>
      <c r="BN486" s="3"/>
      <c r="BO486" s="3"/>
      <c r="BP486" s="3"/>
      <c r="BQ486" s="3"/>
      <c r="BR486" s="3"/>
      <c r="BS486" s="3"/>
      <c r="BT486" s="3"/>
      <c r="BU486" s="3"/>
      <c r="BV486" s="207" t="s">
        <v>2505</v>
      </c>
      <c r="BW486" s="208"/>
      <c r="BX486" s="208"/>
      <c r="BY486" s="208"/>
      <c r="BZ486" s="208"/>
      <c r="CA486" s="208"/>
      <c r="CB486" s="208"/>
      <c r="CC486" s="3"/>
      <c r="CD486" s="207" t="s">
        <v>2504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45" t="s">
        <v>396</v>
      </c>
      <c r="C487" s="5"/>
      <c r="D487" s="5"/>
      <c r="E487" s="5"/>
      <c r="F487" s="5"/>
      <c r="G487" s="5"/>
      <c r="H487" s="5"/>
      <c r="I487" s="5"/>
      <c r="J487" s="5"/>
      <c r="K487" s="5"/>
      <c r="L487" s="5"/>
      <c r="M487" s="5"/>
      <c r="N487" s="5"/>
      <c r="O487" s="5"/>
      <c r="P487" s="5"/>
      <c r="Q487" s="1450" t="s">
        <v>2742</v>
      </c>
      <c r="R487" s="1376"/>
      <c r="S487" s="1376"/>
      <c r="T487" s="1376"/>
      <c r="U487" s="1376"/>
      <c r="V487" s="1376"/>
      <c r="W487" s="1376"/>
      <c r="X487" s="1376"/>
      <c r="Y487" s="1376"/>
      <c r="Z487" s="1376"/>
      <c r="AA487" s="1376"/>
      <c r="AB487" s="1376"/>
      <c r="AC487" s="1376"/>
      <c r="AD487" s="1376"/>
      <c r="AE487" s="1376"/>
      <c r="AF487" s="1376"/>
      <c r="AG487" s="1376"/>
      <c r="AH487" s="1376"/>
      <c r="AI487" s="1376"/>
      <c r="AJ487" s="1376"/>
      <c r="AK487" s="1451"/>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45" t="s">
        <v>397</v>
      </c>
      <c r="C488" s="5"/>
      <c r="D488" s="5"/>
      <c r="E488" s="5"/>
      <c r="F488" s="5"/>
      <c r="G488" s="5"/>
      <c r="H488" s="5"/>
      <c r="I488" s="5"/>
      <c r="J488" s="5"/>
      <c r="K488" s="5"/>
      <c r="L488" s="5"/>
      <c r="M488" s="5"/>
      <c r="N488" s="5"/>
      <c r="O488" s="5"/>
      <c r="P488" s="5"/>
      <c r="Q488" s="1450" t="s">
        <v>2686</v>
      </c>
      <c r="R488" s="1376"/>
      <c r="S488" s="1376"/>
      <c r="T488" s="1376"/>
      <c r="U488" s="1376"/>
      <c r="V488" s="1376"/>
      <c r="W488" s="1376"/>
      <c r="X488" s="1376"/>
      <c r="Y488" s="1376"/>
      <c r="Z488" s="1376"/>
      <c r="AA488" s="1376"/>
      <c r="AB488" s="1376"/>
      <c r="AC488" s="1376"/>
      <c r="AD488" s="1376"/>
      <c r="AE488" s="1376"/>
      <c r="AF488" s="1376"/>
      <c r="AG488" s="1376"/>
      <c r="AH488" s="1376"/>
      <c r="AI488" s="1376"/>
      <c r="AJ488" s="1376"/>
      <c r="AK488" s="145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728" t="s">
        <v>398</v>
      </c>
      <c r="C489" s="1729"/>
      <c r="D489" s="1729"/>
      <c r="E489" s="1729"/>
      <c r="F489" s="1729"/>
      <c r="G489" s="1729"/>
      <c r="H489" s="1729"/>
      <c r="I489" s="1729"/>
      <c r="J489" s="1729"/>
      <c r="K489" s="1729"/>
      <c r="L489" s="1729"/>
      <c r="M489" s="1729"/>
      <c r="N489" s="1729"/>
      <c r="O489" s="1729"/>
      <c r="P489" s="1730"/>
      <c r="Q489" s="1724" t="s">
        <v>677</v>
      </c>
      <c r="R489" s="1725"/>
      <c r="S489" s="1714" t="s">
        <v>166</v>
      </c>
      <c r="T489" s="1715"/>
      <c r="U489" s="1715"/>
      <c r="V489" s="1715"/>
      <c r="W489" s="1715"/>
      <c r="X489" s="1715"/>
      <c r="Y489" s="1715"/>
      <c r="Z489" s="1715"/>
      <c r="AA489" s="1715"/>
      <c r="AB489" s="1715"/>
      <c r="AC489" s="1715"/>
      <c r="AD489" s="1715"/>
      <c r="AE489" s="1715"/>
      <c r="AF489" s="1715"/>
      <c r="AG489" s="1715"/>
      <c r="AH489" s="1715"/>
      <c r="AI489" s="1715"/>
      <c r="AJ489" s="1715"/>
      <c r="AK489" s="171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731"/>
      <c r="C490" s="1732"/>
      <c r="D490" s="1732"/>
      <c r="E490" s="1732"/>
      <c r="F490" s="1732"/>
      <c r="G490" s="1732"/>
      <c r="H490" s="1732"/>
      <c r="I490" s="1732"/>
      <c r="J490" s="1732"/>
      <c r="K490" s="1732"/>
      <c r="L490" s="1732"/>
      <c r="M490" s="1732"/>
      <c r="N490" s="1732"/>
      <c r="O490" s="1732"/>
      <c r="P490" s="1733"/>
      <c r="Q490" s="1726"/>
      <c r="R490" s="1727"/>
      <c r="S490" s="1717"/>
      <c r="T490" s="1480"/>
      <c r="U490" s="1480"/>
      <c r="V490" s="1480"/>
      <c r="W490" s="1480"/>
      <c r="X490" s="1480"/>
      <c r="Y490" s="1480"/>
      <c r="Z490" s="1480"/>
      <c r="AA490" s="1480"/>
      <c r="AB490" s="1480"/>
      <c r="AC490" s="1480"/>
      <c r="AD490" s="1480"/>
      <c r="AE490" s="1480"/>
      <c r="AF490" s="1480"/>
      <c r="AG490" s="1480"/>
      <c r="AH490" s="1480"/>
      <c r="AI490" s="1480"/>
      <c r="AJ490" s="1480"/>
      <c r="AK490" s="171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930" t="s">
        <v>1785</v>
      </c>
      <c r="C491" s="907"/>
      <c r="D491" s="907"/>
      <c r="E491" s="907"/>
      <c r="F491" s="907"/>
      <c r="G491" s="907"/>
      <c r="H491" s="907"/>
      <c r="I491" s="907"/>
      <c r="J491" s="907"/>
      <c r="K491" s="907"/>
      <c r="L491" s="907"/>
      <c r="M491" s="907"/>
      <c r="N491" s="907"/>
      <c r="O491" s="907"/>
      <c r="P491" s="907"/>
      <c r="Q491" s="1452" t="s">
        <v>553</v>
      </c>
      <c r="R491" s="1453"/>
      <c r="S491" s="1453"/>
      <c r="T491" s="1453"/>
      <c r="U491" s="1453"/>
      <c r="V491" s="1453"/>
      <c r="W491" s="1453"/>
      <c r="X491" s="1453"/>
      <c r="Y491" s="1453"/>
      <c r="Z491" s="1453"/>
      <c r="AA491" s="1453"/>
      <c r="AB491" s="1453"/>
      <c r="AC491" s="1453"/>
      <c r="AD491" s="1453"/>
      <c r="AE491" s="1453"/>
      <c r="AF491" s="1453"/>
      <c r="AG491" s="1453"/>
      <c r="AH491" s="1453"/>
      <c r="AI491" s="1453"/>
      <c r="AJ491" s="1453"/>
      <c r="AK491" s="145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45" t="s">
        <v>399</v>
      </c>
      <c r="C492" s="5"/>
      <c r="D492" s="5"/>
      <c r="E492" s="5"/>
      <c r="F492" s="5"/>
      <c r="G492" s="5"/>
      <c r="H492" s="5"/>
      <c r="I492" s="5"/>
      <c r="J492" s="5"/>
      <c r="K492" s="5"/>
      <c r="L492" s="5"/>
      <c r="M492" s="5"/>
      <c r="N492" s="5"/>
      <c r="O492" s="5"/>
      <c r="P492" s="5"/>
      <c r="Q492" s="1674" t="s">
        <v>2743</v>
      </c>
      <c r="R492" s="1376"/>
      <c r="S492" s="1376"/>
      <c r="T492" s="1376"/>
      <c r="U492" s="1376"/>
      <c r="V492" s="1376"/>
      <c r="W492" s="1376"/>
      <c r="X492" s="1376"/>
      <c r="Y492" s="1376"/>
      <c r="Z492" s="1376"/>
      <c r="AA492" s="1376"/>
      <c r="AB492" s="1376"/>
      <c r="AC492" s="1376"/>
      <c r="AD492" s="1376"/>
      <c r="AE492" s="1376"/>
      <c r="AF492" s="1376"/>
      <c r="AG492" s="1376"/>
      <c r="AH492" s="1376"/>
      <c r="AI492" s="1376"/>
      <c r="AJ492" s="1376"/>
      <c r="AK492" s="145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45" t="s">
        <v>400</v>
      </c>
      <c r="C493" s="5"/>
      <c r="D493" s="5"/>
      <c r="E493" s="5"/>
      <c r="F493" s="5"/>
      <c r="G493" s="5"/>
      <c r="H493" s="5"/>
      <c r="I493" s="5"/>
      <c r="J493" s="5"/>
      <c r="K493" s="5"/>
      <c r="L493" s="5"/>
      <c r="M493" s="5"/>
      <c r="N493" s="5"/>
      <c r="O493" s="5"/>
      <c r="P493" s="5"/>
      <c r="Q493" s="1450" t="s">
        <v>2744</v>
      </c>
      <c r="R493" s="1376"/>
      <c r="S493" s="1376"/>
      <c r="T493" s="1376"/>
      <c r="U493" s="1376"/>
      <c r="V493" s="1376"/>
      <c r="W493" s="1376"/>
      <c r="X493" s="1376"/>
      <c r="Y493" s="1376"/>
      <c r="Z493" s="1376"/>
      <c r="AA493" s="1376"/>
      <c r="AB493" s="1376"/>
      <c r="AC493" s="1376"/>
      <c r="AD493" s="1376"/>
      <c r="AE493" s="1376"/>
      <c r="AF493" s="1376"/>
      <c r="AG493" s="1376"/>
      <c r="AH493" s="1376"/>
      <c r="AI493" s="1376"/>
      <c r="AJ493" s="1376"/>
      <c r="AK493" s="145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121" t="s">
        <v>1782</v>
      </c>
      <c r="C494" s="5"/>
      <c r="D494" s="5"/>
      <c r="E494" s="5"/>
      <c r="F494" s="5"/>
      <c r="G494" s="5"/>
      <c r="H494" s="5"/>
      <c r="I494" s="5"/>
      <c r="J494" s="5"/>
      <c r="K494" s="5"/>
      <c r="L494" s="5"/>
      <c r="M494" s="5"/>
      <c r="N494" s="5"/>
      <c r="O494" s="5"/>
      <c r="P494" s="5"/>
      <c r="Q494" s="1450" t="s">
        <v>2745</v>
      </c>
      <c r="R494" s="1376"/>
      <c r="S494" s="1376"/>
      <c r="T494" s="1376"/>
      <c r="U494" s="1376"/>
      <c r="V494" s="1376"/>
      <c r="W494" s="1376"/>
      <c r="X494" s="1376"/>
      <c r="Y494" s="1376"/>
      <c r="Z494" s="1376"/>
      <c r="AA494" s="1376"/>
      <c r="AB494" s="1376"/>
      <c r="AC494" s="1376"/>
      <c r="AD494" s="1376"/>
      <c r="AE494" s="1376"/>
      <c r="AF494" s="1376"/>
      <c r="AG494" s="1376"/>
      <c r="AH494" s="1376"/>
      <c r="AI494" s="1376"/>
      <c r="AJ494" s="1376"/>
      <c r="AK494" s="145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121" t="s">
        <v>1783</v>
      </c>
      <c r="C495" s="5"/>
      <c r="D495" s="5"/>
      <c r="E495" s="5"/>
      <c r="F495" s="5"/>
      <c r="G495" s="5"/>
      <c r="H495" s="5"/>
      <c r="I495" s="5"/>
      <c r="J495" s="5"/>
      <c r="K495" s="5"/>
      <c r="L495" s="5"/>
      <c r="M495" s="1455">
        <v>118</v>
      </c>
      <c r="N495" s="1456"/>
      <c r="O495" s="1456"/>
      <c r="P495" s="1457"/>
      <c r="Q495" s="121" t="s">
        <v>1784</v>
      </c>
      <c r="R495" s="5"/>
      <c r="S495" s="5"/>
      <c r="T495" s="5"/>
      <c r="U495" s="5"/>
      <c r="V495" s="5"/>
      <c r="W495" s="5"/>
      <c r="X495" s="5"/>
      <c r="Y495" s="5"/>
      <c r="Z495" s="5"/>
      <c r="AA495" s="5"/>
      <c r="AB495" s="5"/>
      <c r="AC495" s="5"/>
      <c r="AD495" s="5"/>
      <c r="AE495" s="5"/>
      <c r="AF495" s="5"/>
      <c r="AG495" s="5"/>
      <c r="AH495" s="1455"/>
      <c r="AI495" s="1456"/>
      <c r="AJ495" s="1456"/>
      <c r="AK495" s="145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47" t="s">
        <v>402</v>
      </c>
      <c r="AD499" s="1448"/>
      <c r="AE499" s="1448"/>
      <c r="AF499" s="1448"/>
      <c r="AG499" s="1448"/>
      <c r="AH499" s="1448"/>
      <c r="AI499" s="1448"/>
      <c r="AJ499" s="1448"/>
      <c r="AK499" s="1449"/>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47" t="s">
        <v>403</v>
      </c>
      <c r="AD500" s="1448"/>
      <c r="AE500" s="1448"/>
      <c r="AF500" s="1448"/>
      <c r="AG500" s="50" t="s">
        <v>404</v>
      </c>
      <c r="AH500" s="1448" t="s">
        <v>405</v>
      </c>
      <c r="AI500" s="1448"/>
      <c r="AJ500" s="1448"/>
      <c r="AK500" s="1449"/>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414" t="s">
        <v>406</v>
      </c>
      <c r="C501" s="1415"/>
      <c r="D501" s="1415"/>
      <c r="E501" s="1415"/>
      <c r="F501" s="1415"/>
      <c r="G501" s="1415"/>
      <c r="H501" s="1416"/>
      <c r="I501" s="42" t="s">
        <v>407</v>
      </c>
      <c r="J501" s="42"/>
      <c r="K501" s="42"/>
      <c r="L501" s="42"/>
      <c r="M501" s="42"/>
      <c r="N501" s="42"/>
      <c r="O501" s="42"/>
      <c r="P501" s="42"/>
      <c r="Q501" s="42"/>
      <c r="R501" s="42"/>
      <c r="S501" s="42"/>
      <c r="T501" s="42"/>
      <c r="U501" s="42"/>
      <c r="V501" s="42"/>
      <c r="W501" s="42"/>
      <c r="AC501" s="1467">
        <v>3</v>
      </c>
      <c r="AD501" s="1468"/>
      <c r="AE501" s="1468"/>
      <c r="AF501" s="1468"/>
      <c r="AG501" s="13" t="s">
        <v>404</v>
      </c>
      <c r="AH501" s="1434">
        <v>2024</v>
      </c>
      <c r="AI501" s="1434"/>
      <c r="AJ501" s="1434"/>
      <c r="AK501" s="143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417"/>
      <c r="C502" s="1418"/>
      <c r="D502" s="1418"/>
      <c r="E502" s="1418"/>
      <c r="F502" s="1418"/>
      <c r="G502" s="1418"/>
      <c r="H502" s="1419"/>
      <c r="I502" s="48" t="s">
        <v>408</v>
      </c>
      <c r="J502" s="48"/>
      <c r="K502" s="48"/>
      <c r="L502" s="48"/>
      <c r="M502" s="48"/>
      <c r="N502" s="48"/>
      <c r="O502" s="48"/>
      <c r="P502" s="48"/>
      <c r="Q502" s="48"/>
      <c r="R502" s="48"/>
      <c r="S502" s="48"/>
      <c r="T502" s="48"/>
      <c r="U502" s="48"/>
      <c r="V502" s="48"/>
      <c r="W502" s="48"/>
      <c r="X502" s="48"/>
      <c r="Y502" s="48"/>
      <c r="Z502" s="48"/>
      <c r="AA502" s="48"/>
      <c r="AB502" s="48"/>
      <c r="AC502" s="1467">
        <v>10</v>
      </c>
      <c r="AD502" s="1468"/>
      <c r="AE502" s="1468"/>
      <c r="AF502" s="1468"/>
      <c r="AG502" s="38" t="s">
        <v>404</v>
      </c>
      <c r="AH502" s="1434">
        <v>2024</v>
      </c>
      <c r="AI502" s="1434"/>
      <c r="AJ502" s="1434"/>
      <c r="AK502" s="143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414" t="s">
        <v>409</v>
      </c>
      <c r="C503" s="1415"/>
      <c r="D503" s="1415"/>
      <c r="E503" s="1415"/>
      <c r="F503" s="1415"/>
      <c r="G503" s="1415"/>
      <c r="H503" s="1416"/>
      <c r="I503" s="42" t="s">
        <v>410</v>
      </c>
      <c r="J503" s="42"/>
      <c r="K503" s="42"/>
      <c r="L503" s="42"/>
      <c r="M503" s="42"/>
      <c r="N503" s="42"/>
      <c r="O503" s="42"/>
      <c r="P503" s="42"/>
      <c r="Q503" s="42"/>
      <c r="R503" s="42"/>
      <c r="S503" s="42"/>
      <c r="T503" s="42"/>
      <c r="U503" s="42"/>
      <c r="V503" s="42"/>
      <c r="W503" s="42"/>
      <c r="AC503" s="1467" t="s">
        <v>599</v>
      </c>
      <c r="AD503" s="1468"/>
      <c r="AE503" s="1468"/>
      <c r="AF503" s="1468"/>
      <c r="AG503" s="13" t="s">
        <v>404</v>
      </c>
      <c r="AH503" s="1434" t="s">
        <v>599</v>
      </c>
      <c r="AI503" s="1434"/>
      <c r="AJ503" s="1434"/>
      <c r="AK503" s="143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417"/>
      <c r="C504" s="1418"/>
      <c r="D504" s="1418"/>
      <c r="E504" s="1418"/>
      <c r="F504" s="1418"/>
      <c r="G504" s="1418"/>
      <c r="H504" s="1419"/>
      <c r="I504" t="s">
        <v>411</v>
      </c>
      <c r="AC504" s="1467" t="s">
        <v>599</v>
      </c>
      <c r="AD504" s="1468"/>
      <c r="AE504" s="1468"/>
      <c r="AF504" s="1468"/>
      <c r="AG504" s="13" t="s">
        <v>404</v>
      </c>
      <c r="AH504" s="1434" t="s">
        <v>599</v>
      </c>
      <c r="AI504" s="1434"/>
      <c r="AJ504" s="1434"/>
      <c r="AK504" s="143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417"/>
      <c r="C505" s="1418"/>
      <c r="D505" s="1418"/>
      <c r="E505" s="1418"/>
      <c r="F505" s="1418"/>
      <c r="G505" s="1418"/>
      <c r="H505" s="1419"/>
      <c r="I505" t="s">
        <v>412</v>
      </c>
      <c r="AC505" s="1467" t="s">
        <v>599</v>
      </c>
      <c r="AD505" s="1468"/>
      <c r="AE505" s="1468"/>
      <c r="AF505" s="1468"/>
      <c r="AG505" s="13" t="s">
        <v>404</v>
      </c>
      <c r="AH505" s="1434" t="s">
        <v>599</v>
      </c>
      <c r="AI505" s="1434"/>
      <c r="AJ505" s="1434"/>
      <c r="AK505" s="143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417"/>
      <c r="C506" s="1418"/>
      <c r="D506" s="1418"/>
      <c r="E506" s="1418"/>
      <c r="F506" s="1418"/>
      <c r="G506" s="1418"/>
      <c r="H506" s="1419"/>
      <c r="I506" t="s">
        <v>413</v>
      </c>
      <c r="AC506" s="1467">
        <v>10</v>
      </c>
      <c r="AD506" s="1468"/>
      <c r="AE506" s="1468"/>
      <c r="AF506" s="1468"/>
      <c r="AG506" s="13" t="s">
        <v>404</v>
      </c>
      <c r="AH506" s="1434">
        <v>2024</v>
      </c>
      <c r="AI506" s="1434"/>
      <c r="AJ506" s="1434"/>
      <c r="AK506" s="143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417"/>
      <c r="C507" s="1418"/>
      <c r="D507" s="1418"/>
      <c r="E507" s="1418"/>
      <c r="F507" s="1418"/>
      <c r="G507" s="1418"/>
      <c r="H507" s="1419"/>
      <c r="I507" s="3" t="s">
        <v>414</v>
      </c>
      <c r="AC507" s="1365">
        <v>10</v>
      </c>
      <c r="AD507" s="1366"/>
      <c r="AE507" s="1366"/>
      <c r="AF507" s="1366"/>
      <c r="AG507" s="13" t="s">
        <v>404</v>
      </c>
      <c r="AH507" s="1434">
        <v>2024</v>
      </c>
      <c r="AI507" s="1434"/>
      <c r="AJ507" s="1434"/>
      <c r="AK507" s="143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 customHeight="1">
      <c r="B508" s="1417"/>
      <c r="C508" s="1418"/>
      <c r="D508" s="1418"/>
      <c r="E508" s="1418"/>
      <c r="F508" s="1418"/>
      <c r="G508" s="1418"/>
      <c r="H508" s="1419"/>
      <c r="I508" s="931" t="s">
        <v>170</v>
      </c>
      <c r="J508" s="48"/>
      <c r="K508" s="48"/>
      <c r="L508" s="1429" t="s">
        <v>335</v>
      </c>
      <c r="M508" s="1430"/>
      <c r="N508" s="1430"/>
      <c r="O508" s="1430"/>
      <c r="P508" s="1430"/>
      <c r="Q508" s="1430"/>
      <c r="R508" s="1430"/>
      <c r="S508" s="1430"/>
      <c r="T508" s="1430"/>
      <c r="U508" s="1430"/>
      <c r="V508" s="1430"/>
      <c r="W508" s="1430"/>
      <c r="X508" s="1430"/>
      <c r="Y508" s="1430"/>
      <c r="Z508" s="1430"/>
      <c r="AA508" s="1430"/>
      <c r="AB508" s="1497"/>
      <c r="AC508" s="1467" t="s">
        <v>599</v>
      </c>
      <c r="AD508" s="1468"/>
      <c r="AE508" s="1468"/>
      <c r="AF508" s="1468"/>
      <c r="AG508" s="38" t="s">
        <v>404</v>
      </c>
      <c r="AH508" s="1434" t="s">
        <v>599</v>
      </c>
      <c r="AI508" s="1434"/>
      <c r="AJ508" s="1434"/>
      <c r="AK508" s="143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 customHeight="1">
      <c r="B509" s="905"/>
      <c r="C509" s="130"/>
      <c r="D509" s="130"/>
      <c r="E509" s="130"/>
      <c r="F509" s="130"/>
      <c r="G509" s="130"/>
      <c r="H509" s="906"/>
      <c r="I509" s="3" t="s">
        <v>1789</v>
      </c>
      <c r="AC509" s="1472" t="s">
        <v>553</v>
      </c>
      <c r="AD509" s="1472"/>
      <c r="AE509" s="1472"/>
      <c r="AF509" s="1472"/>
      <c r="AG509" s="13"/>
      <c r="AH509" s="1305"/>
      <c r="AI509" s="1305"/>
      <c r="AJ509" s="1305"/>
      <c r="AK509" s="149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 customHeight="1">
      <c r="B510" s="905"/>
      <c r="C510" s="130"/>
      <c r="D510" s="130"/>
      <c r="E510" s="130"/>
      <c r="F510" s="130"/>
      <c r="G510" s="130"/>
      <c r="H510" s="906"/>
      <c r="I510" t="s">
        <v>1786</v>
      </c>
      <c r="AC510" s="1466">
        <v>2</v>
      </c>
      <c r="AD510" s="1366"/>
      <c r="AE510" s="1366"/>
      <c r="AF510" s="1367"/>
      <c r="AG510" s="13"/>
      <c r="AH510" s="1305"/>
      <c r="AI510" s="1305"/>
      <c r="AJ510" s="1305"/>
      <c r="AK510" s="149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563">
        <v>0</v>
      </c>
      <c r="AD512" s="1564"/>
      <c r="AE512" s="1564"/>
      <c r="AF512" s="1565"/>
      <c r="AG512" s="38"/>
      <c r="AH512" s="1566"/>
      <c r="AI512" s="1566"/>
      <c r="AJ512" s="1566"/>
      <c r="AK512" s="1567"/>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99" t="s">
        <v>403</v>
      </c>
      <c r="AD513" s="1464"/>
      <c r="AE513" s="1464"/>
      <c r="AF513" s="1464"/>
      <c r="AG513" s="38" t="s">
        <v>404</v>
      </c>
      <c r="AH513" s="1464" t="s">
        <v>405</v>
      </c>
      <c r="AI513" s="1464"/>
      <c r="AJ513" s="1464"/>
      <c r="AK513" s="1465"/>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 customHeight="1">
      <c r="B514" s="1414" t="s">
        <v>415</v>
      </c>
      <c r="C514" s="1415"/>
      <c r="D514" s="1415"/>
      <c r="E514" s="1415"/>
      <c r="F514" s="1415"/>
      <c r="G514" s="1415"/>
      <c r="H514" s="1416"/>
      <c r="I514" s="42" t="s">
        <v>416</v>
      </c>
      <c r="J514" s="42"/>
      <c r="K514" s="42"/>
      <c r="L514" s="42"/>
      <c r="M514" s="42"/>
      <c r="N514" s="42"/>
      <c r="O514" s="42"/>
      <c r="P514" s="42"/>
      <c r="Q514" s="42"/>
      <c r="R514" s="42"/>
      <c r="S514" s="42"/>
      <c r="T514" s="42"/>
      <c r="U514" s="42"/>
      <c r="V514" s="42"/>
      <c r="W514" s="42"/>
      <c r="AC514" s="1467">
        <v>3</v>
      </c>
      <c r="AD514" s="1468"/>
      <c r="AE514" s="1468"/>
      <c r="AF514" s="1468"/>
      <c r="AG514" s="13" t="s">
        <v>404</v>
      </c>
      <c r="AH514" s="1434">
        <v>2024</v>
      </c>
      <c r="AI514" s="1434"/>
      <c r="AJ514" s="1434"/>
      <c r="AK514" s="1435"/>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 customHeight="1">
      <c r="B515" s="1417"/>
      <c r="C515" s="1418"/>
      <c r="D515" s="1418"/>
      <c r="E515" s="1418"/>
      <c r="F515" s="1418"/>
      <c r="G515" s="1418"/>
      <c r="H515" s="1419"/>
      <c r="I515" t="s">
        <v>417</v>
      </c>
      <c r="AC515" s="1467">
        <v>4</v>
      </c>
      <c r="AD515" s="1468"/>
      <c r="AE515" s="1468"/>
      <c r="AF515" s="1468"/>
      <c r="AG515" s="13" t="s">
        <v>404</v>
      </c>
      <c r="AH515" s="1434">
        <v>2024</v>
      </c>
      <c r="AI515" s="1434"/>
      <c r="AJ515" s="1434"/>
      <c r="AK515" s="1435"/>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 customHeight="1">
      <c r="B516" s="1417"/>
      <c r="C516" s="1418"/>
      <c r="D516" s="1418"/>
      <c r="E516" s="1418"/>
      <c r="F516" s="1418"/>
      <c r="G516" s="1418"/>
      <c r="H516" s="1419"/>
      <c r="I516" s="48" t="s">
        <v>418</v>
      </c>
      <c r="J516" s="48"/>
      <c r="K516" s="48"/>
      <c r="L516" s="48"/>
      <c r="M516" s="48"/>
      <c r="N516" s="48"/>
      <c r="O516" s="48"/>
      <c r="P516" s="48"/>
      <c r="Q516" s="48"/>
      <c r="R516" s="48"/>
      <c r="S516" s="48"/>
      <c r="T516" s="48"/>
      <c r="U516" s="48"/>
      <c r="V516" s="48"/>
      <c r="W516" s="48"/>
      <c r="X516" s="48"/>
      <c r="Y516" s="48"/>
      <c r="Z516" s="48"/>
      <c r="AA516" s="48"/>
      <c r="AB516" s="48"/>
      <c r="AC516" s="1467">
        <v>11</v>
      </c>
      <c r="AD516" s="1468"/>
      <c r="AE516" s="1468"/>
      <c r="AF516" s="1468"/>
      <c r="AG516" s="38" t="s">
        <v>404</v>
      </c>
      <c r="AH516" s="1434">
        <v>2024</v>
      </c>
      <c r="AI516" s="1434"/>
      <c r="AJ516" s="1434"/>
      <c r="AK516" s="1435"/>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 customHeight="1">
      <c r="B517" s="1414" t="s">
        <v>419</v>
      </c>
      <c r="C517" s="1415"/>
      <c r="D517" s="1415"/>
      <c r="E517" s="1415"/>
      <c r="F517" s="1415"/>
      <c r="G517" s="1415"/>
      <c r="H517" s="1416"/>
      <c r="I517" s="42" t="s">
        <v>416</v>
      </c>
      <c r="J517" s="42"/>
      <c r="K517" s="42"/>
      <c r="L517" s="42"/>
      <c r="M517" s="42"/>
      <c r="N517" s="42"/>
      <c r="O517" s="42"/>
      <c r="P517" s="42"/>
      <c r="Q517" s="42"/>
      <c r="R517" s="42"/>
      <c r="S517" s="42"/>
      <c r="T517" s="42"/>
      <c r="U517" s="42"/>
      <c r="V517" s="42"/>
      <c r="W517" s="42"/>
      <c r="X517" s="42"/>
      <c r="Y517" s="42"/>
      <c r="Z517" s="42"/>
      <c r="AA517" s="42"/>
      <c r="AB517" s="42"/>
      <c r="AC517" s="1365">
        <v>3</v>
      </c>
      <c r="AD517" s="1366"/>
      <c r="AE517" s="1366"/>
      <c r="AF517" s="1366"/>
      <c r="AG517" s="129" t="s">
        <v>404</v>
      </c>
      <c r="AH517" s="1434">
        <v>2024</v>
      </c>
      <c r="AI517" s="1434"/>
      <c r="AJ517" s="1434"/>
      <c r="AK517" s="1435"/>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 customHeight="1">
      <c r="B518" s="1417"/>
      <c r="C518" s="1418"/>
      <c r="D518" s="1418"/>
      <c r="E518" s="1418"/>
      <c r="F518" s="1418"/>
      <c r="G518" s="1418"/>
      <c r="H518" s="1419"/>
      <c r="I518" t="s">
        <v>417</v>
      </c>
      <c r="AC518" s="1467">
        <v>4</v>
      </c>
      <c r="AD518" s="1468"/>
      <c r="AE518" s="1468"/>
      <c r="AF518" s="1468"/>
      <c r="AG518" s="13" t="s">
        <v>404</v>
      </c>
      <c r="AH518" s="1434">
        <v>2024</v>
      </c>
      <c r="AI518" s="1434"/>
      <c r="AJ518" s="1434"/>
      <c r="AK518" s="1435"/>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 customHeight="1">
      <c r="B519" s="1420"/>
      <c r="C519" s="1421"/>
      <c r="D519" s="1421"/>
      <c r="E519" s="1421"/>
      <c r="F519" s="1421"/>
      <c r="G519" s="1421"/>
      <c r="H519" s="1422"/>
      <c r="I519" s="48" t="s">
        <v>418</v>
      </c>
      <c r="J519" s="48"/>
      <c r="K519" s="48"/>
      <c r="L519" s="48"/>
      <c r="M519" s="48"/>
      <c r="N519" s="48"/>
      <c r="O519" s="48"/>
      <c r="P519" s="48"/>
      <c r="Q519" s="48"/>
      <c r="R519" s="48"/>
      <c r="S519" s="48"/>
      <c r="T519" s="48"/>
      <c r="U519" s="48"/>
      <c r="V519" s="48"/>
      <c r="W519" s="48"/>
      <c r="X519" s="48"/>
      <c r="Y519" s="48"/>
      <c r="Z519" s="48"/>
      <c r="AA519" s="48"/>
      <c r="AB519" s="48"/>
      <c r="AC519" s="1467" t="s">
        <v>599</v>
      </c>
      <c r="AD519" s="1468"/>
      <c r="AE519" s="1468"/>
      <c r="AF519" s="1468"/>
      <c r="AG519" s="38" t="s">
        <v>404</v>
      </c>
      <c r="AH519" s="1434"/>
      <c r="AI519" s="1434"/>
      <c r="AJ519" s="1434"/>
      <c r="AK519" s="1435"/>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 customHeight="1">
      <c r="B520" s="1414" t="s">
        <v>420</v>
      </c>
      <c r="C520" s="1415"/>
      <c r="D520" s="1415"/>
      <c r="E520" s="1415"/>
      <c r="F520" s="1415"/>
      <c r="G520" s="1415"/>
      <c r="H520" s="1416"/>
      <c r="I520" s="41" t="s">
        <v>421</v>
      </c>
      <c r="J520" s="42"/>
      <c r="K520" s="42"/>
      <c r="L520" s="42"/>
      <c r="M520" s="42"/>
      <c r="N520" s="42"/>
      <c r="O520" s="1429" t="s">
        <v>2746</v>
      </c>
      <c r="P520" s="1430"/>
      <c r="Q520" s="1430"/>
      <c r="R520" s="1430"/>
      <c r="S520" s="1430"/>
      <c r="T520" s="1430"/>
      <c r="U520" s="1430"/>
      <c r="V520" s="1430"/>
      <c r="W520" s="1430"/>
      <c r="X520" s="1430"/>
      <c r="Y520" s="1430"/>
      <c r="Z520" s="1430"/>
      <c r="AA520" s="1430"/>
      <c r="AB520" s="58"/>
      <c r="AC520" s="1365" t="s">
        <v>599</v>
      </c>
      <c r="AD520" s="1366"/>
      <c r="AE520" s="1366"/>
      <c r="AF520" s="1366"/>
      <c r="AG520" s="129" t="s">
        <v>404</v>
      </c>
      <c r="AH520" s="1434"/>
      <c r="AI520" s="1434"/>
      <c r="AJ520" s="1434"/>
      <c r="AK520" s="1435"/>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 customHeight="1">
      <c r="B521" s="1417"/>
      <c r="C521" s="1418"/>
      <c r="D521" s="1418"/>
      <c r="E521" s="1418"/>
      <c r="F521" s="1418"/>
      <c r="G521" s="1418"/>
      <c r="H521" s="1419"/>
      <c r="I521" s="114" t="s">
        <v>422</v>
      </c>
      <c r="AB521" s="65"/>
      <c r="AC521" s="1467">
        <v>4</v>
      </c>
      <c r="AD521" s="1468"/>
      <c r="AE521" s="1468"/>
      <c r="AF521" s="1468"/>
      <c r="AG521" s="13" t="s">
        <v>404</v>
      </c>
      <c r="AH521" s="1434">
        <v>2024</v>
      </c>
      <c r="AI521" s="1434"/>
      <c r="AJ521" s="1434"/>
      <c r="AK521" s="1435"/>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 customHeight="1">
      <c r="B522" s="1417"/>
      <c r="C522" s="1418"/>
      <c r="D522" s="1418"/>
      <c r="E522" s="1418"/>
      <c r="F522" s="1418"/>
      <c r="G522" s="1418"/>
      <c r="H522" s="1419"/>
      <c r="I522" s="47" t="s">
        <v>423</v>
      </c>
      <c r="J522" s="48"/>
      <c r="K522" s="48"/>
      <c r="L522" s="48"/>
      <c r="M522" s="48"/>
      <c r="N522" s="48"/>
      <c r="O522" s="48"/>
      <c r="P522" s="48"/>
      <c r="Q522" s="48"/>
      <c r="R522" s="48"/>
      <c r="S522" s="48"/>
      <c r="T522" s="48"/>
      <c r="U522" s="48"/>
      <c r="V522" s="48"/>
      <c r="W522" s="48"/>
      <c r="X522" s="48"/>
      <c r="Y522" s="48"/>
      <c r="Z522" s="48"/>
      <c r="AA522" s="48"/>
      <c r="AB522" s="49"/>
      <c r="AC522" s="1467">
        <v>4</v>
      </c>
      <c r="AD522" s="1468"/>
      <c r="AE522" s="1468"/>
      <c r="AF522" s="1468"/>
      <c r="AG522" s="38" t="s">
        <v>404</v>
      </c>
      <c r="AH522" s="1434">
        <v>2024</v>
      </c>
      <c r="AI522" s="1434"/>
      <c r="AJ522" s="1434"/>
      <c r="AK522" s="1435"/>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 customHeight="1">
      <c r="B523" s="1417"/>
      <c r="C523" s="1418"/>
      <c r="D523" s="1418"/>
      <c r="E523" s="1418"/>
      <c r="F523" s="1418"/>
      <c r="G523" s="1418"/>
      <c r="H523" s="1419"/>
      <c r="I523" s="42" t="s">
        <v>424</v>
      </c>
      <c r="J523" s="42"/>
      <c r="K523" s="42"/>
      <c r="L523" s="42"/>
      <c r="M523" s="42"/>
      <c r="N523" s="42"/>
      <c r="O523" s="1429" t="s">
        <v>2747</v>
      </c>
      <c r="P523" s="1430"/>
      <c r="Q523" s="1430"/>
      <c r="R523" s="1430"/>
      <c r="S523" s="1430"/>
      <c r="T523" s="1430"/>
      <c r="U523" s="1430"/>
      <c r="V523" s="1430"/>
      <c r="W523" s="1430"/>
      <c r="X523" s="1430"/>
      <c r="Y523" s="1430"/>
      <c r="Z523" s="1430"/>
      <c r="AA523" s="1430"/>
      <c r="AC523" s="1467" t="s">
        <v>599</v>
      </c>
      <c r="AD523" s="1468"/>
      <c r="AE523" s="1468"/>
      <c r="AF523" s="1468"/>
      <c r="AG523" s="13" t="s">
        <v>404</v>
      </c>
      <c r="AH523" s="1434"/>
      <c r="AI523" s="1434"/>
      <c r="AJ523" s="1434"/>
      <c r="AK523" s="1435"/>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 customHeight="1">
      <c r="B524" s="1417"/>
      <c r="C524" s="1418"/>
      <c r="D524" s="1418"/>
      <c r="E524" s="1418"/>
      <c r="F524" s="1418"/>
      <c r="G524" s="1418"/>
      <c r="H524" s="1419"/>
      <c r="I524" t="s">
        <v>422</v>
      </c>
      <c r="AC524" s="1467">
        <v>4</v>
      </c>
      <c r="AD524" s="1468"/>
      <c r="AE524" s="1468"/>
      <c r="AF524" s="1468"/>
      <c r="AG524" s="13" t="s">
        <v>404</v>
      </c>
      <c r="AH524" s="1434">
        <v>2024</v>
      </c>
      <c r="AI524" s="1434"/>
      <c r="AJ524" s="1434"/>
      <c r="AK524" s="1435"/>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 customHeight="1">
      <c r="B525" s="1417"/>
      <c r="C525" s="1418"/>
      <c r="D525" s="1418"/>
      <c r="E525" s="1418"/>
      <c r="F525" s="1418"/>
      <c r="G525" s="1418"/>
      <c r="H525" s="1419"/>
      <c r="I525" s="48" t="s">
        <v>423</v>
      </c>
      <c r="J525" s="48"/>
      <c r="K525" s="48"/>
      <c r="L525" s="48"/>
      <c r="M525" s="48"/>
      <c r="N525" s="48"/>
      <c r="O525" s="48"/>
      <c r="P525" s="48"/>
      <c r="Q525" s="48"/>
      <c r="R525" s="48"/>
      <c r="S525" s="48"/>
      <c r="T525" s="48"/>
      <c r="U525" s="48"/>
      <c r="V525" s="48"/>
      <c r="W525" s="48"/>
      <c r="X525" s="48"/>
      <c r="Y525" s="48"/>
      <c r="Z525" s="48"/>
      <c r="AA525" s="48"/>
      <c r="AB525" s="48"/>
      <c r="AC525" s="1467">
        <v>4</v>
      </c>
      <c r="AD525" s="1468"/>
      <c r="AE525" s="1468"/>
      <c r="AF525" s="1468"/>
      <c r="AG525" s="38" t="s">
        <v>404</v>
      </c>
      <c r="AH525" s="1434">
        <v>2024</v>
      </c>
      <c r="AI525" s="1434"/>
      <c r="AJ525" s="1434"/>
      <c r="AK525" s="1435"/>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417"/>
      <c r="C526" s="1418"/>
      <c r="D526" s="1418"/>
      <c r="E526" s="1418"/>
      <c r="F526" s="1418"/>
      <c r="G526" s="1418"/>
      <c r="H526" s="1419"/>
      <c r="I526" s="42" t="s">
        <v>424</v>
      </c>
      <c r="J526" s="42"/>
      <c r="K526" s="42"/>
      <c r="L526" s="42"/>
      <c r="M526" s="42"/>
      <c r="N526" s="42"/>
      <c r="O526" s="1429" t="s">
        <v>2748</v>
      </c>
      <c r="P526" s="1430"/>
      <c r="Q526" s="1430"/>
      <c r="R526" s="1430"/>
      <c r="S526" s="1430"/>
      <c r="T526" s="1430"/>
      <c r="U526" s="1430"/>
      <c r="V526" s="1430"/>
      <c r="W526" s="1430"/>
      <c r="X526" s="1430"/>
      <c r="Y526" s="1430"/>
      <c r="Z526" s="1430"/>
      <c r="AA526" s="1430"/>
      <c r="AC526" s="1467" t="s">
        <v>599</v>
      </c>
      <c r="AD526" s="1468"/>
      <c r="AE526" s="1468"/>
      <c r="AF526" s="1468"/>
      <c r="AG526" s="13" t="s">
        <v>404</v>
      </c>
      <c r="AH526" s="1434"/>
      <c r="AI526" s="1434"/>
      <c r="AJ526" s="1434"/>
      <c r="AK526" s="1435"/>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417"/>
      <c r="C527" s="1418"/>
      <c r="D527" s="1418"/>
      <c r="E527" s="1418"/>
      <c r="F527" s="1418"/>
      <c r="G527" s="1418"/>
      <c r="H527" s="1419"/>
      <c r="I527" t="s">
        <v>422</v>
      </c>
      <c r="AC527" s="1467">
        <v>4</v>
      </c>
      <c r="AD527" s="1468"/>
      <c r="AE527" s="1468"/>
      <c r="AF527" s="1468"/>
      <c r="AG527" s="13" t="s">
        <v>404</v>
      </c>
      <c r="AH527" s="1434">
        <v>2024</v>
      </c>
      <c r="AI527" s="1434"/>
      <c r="AJ527" s="1434"/>
      <c r="AK527" s="1435"/>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417"/>
      <c r="C528" s="1418"/>
      <c r="D528" s="1418"/>
      <c r="E528" s="1418"/>
      <c r="F528" s="1418"/>
      <c r="G528" s="1418"/>
      <c r="H528" s="1419"/>
      <c r="I528" s="48" t="s">
        <v>423</v>
      </c>
      <c r="J528" s="48"/>
      <c r="K528" s="48"/>
      <c r="L528" s="48"/>
      <c r="M528" s="48"/>
      <c r="N528" s="48"/>
      <c r="O528" s="48"/>
      <c r="P528" s="48"/>
      <c r="Q528" s="48"/>
      <c r="R528" s="48"/>
      <c r="S528" s="48"/>
      <c r="T528" s="48"/>
      <c r="U528" s="48"/>
      <c r="V528" s="48"/>
      <c r="W528" s="48"/>
      <c r="X528" s="48"/>
      <c r="Y528" s="48"/>
      <c r="Z528" s="48"/>
      <c r="AA528" s="48"/>
      <c r="AB528" s="48"/>
      <c r="AC528" s="1467">
        <v>4</v>
      </c>
      <c r="AD528" s="1468"/>
      <c r="AE528" s="1468"/>
      <c r="AF528" s="1468"/>
      <c r="AG528" s="38" t="s">
        <v>404</v>
      </c>
      <c r="AH528" s="1434">
        <v>2024</v>
      </c>
      <c r="AI528" s="1434"/>
      <c r="AJ528" s="1434"/>
      <c r="AK528" s="1435"/>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417"/>
      <c r="C529" s="1418"/>
      <c r="D529" s="1418"/>
      <c r="E529" s="1418"/>
      <c r="F529" s="1418"/>
      <c r="G529" s="1418"/>
      <c r="H529" s="1419"/>
      <c r="I529" s="42" t="s">
        <v>424</v>
      </c>
      <c r="J529" s="42"/>
      <c r="K529" s="42"/>
      <c r="L529" s="42"/>
      <c r="M529" s="42"/>
      <c r="N529" s="42"/>
      <c r="O529" s="1429" t="s">
        <v>2749</v>
      </c>
      <c r="P529" s="1430"/>
      <c r="Q529" s="1430"/>
      <c r="R529" s="1430"/>
      <c r="S529" s="1430"/>
      <c r="T529" s="1430"/>
      <c r="U529" s="1430"/>
      <c r="V529" s="1430"/>
      <c r="W529" s="1430"/>
      <c r="X529" s="1430"/>
      <c r="Y529" s="1430"/>
      <c r="Z529" s="1430"/>
      <c r="AA529" s="1430"/>
      <c r="AC529" s="1467" t="s">
        <v>599</v>
      </c>
      <c r="AD529" s="1468"/>
      <c r="AE529" s="1468"/>
      <c r="AF529" s="1468"/>
      <c r="AG529" s="13" t="s">
        <v>404</v>
      </c>
      <c r="AH529" s="1434"/>
      <c r="AI529" s="1434"/>
      <c r="AJ529" s="1434"/>
      <c r="AK529" s="1435"/>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417"/>
      <c r="C530" s="1418"/>
      <c r="D530" s="1418"/>
      <c r="E530" s="1418"/>
      <c r="F530" s="1418"/>
      <c r="G530" s="1418"/>
      <c r="H530" s="1419"/>
      <c r="I530" t="s">
        <v>422</v>
      </c>
      <c r="AC530" s="1467">
        <v>2</v>
      </c>
      <c r="AD530" s="1468"/>
      <c r="AE530" s="1468"/>
      <c r="AF530" s="1468"/>
      <c r="AG530" s="13" t="s">
        <v>404</v>
      </c>
      <c r="AH530" s="1434">
        <v>2024</v>
      </c>
      <c r="AI530" s="1434"/>
      <c r="AJ530" s="1434"/>
      <c r="AK530" s="1435"/>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417"/>
      <c r="C531" s="1418"/>
      <c r="D531" s="1418"/>
      <c r="E531" s="1418"/>
      <c r="F531" s="1418"/>
      <c r="G531" s="1418"/>
      <c r="H531" s="1419"/>
      <c r="I531" s="48" t="s">
        <v>423</v>
      </c>
      <c r="J531" s="48"/>
      <c r="K531" s="48"/>
      <c r="L531" s="48"/>
      <c r="M531" s="48"/>
      <c r="N531" s="48"/>
      <c r="O531" s="48"/>
      <c r="P531" s="48"/>
      <c r="Q531" s="48"/>
      <c r="R531" s="48"/>
      <c r="S531" s="48"/>
      <c r="T531" s="48"/>
      <c r="U531" s="48"/>
      <c r="V531" s="48"/>
      <c r="W531" s="48"/>
      <c r="X531" s="48"/>
      <c r="Y531" s="48"/>
      <c r="Z531" s="48"/>
      <c r="AA531" s="48"/>
      <c r="AB531" s="48"/>
      <c r="AC531" s="1467">
        <v>3</v>
      </c>
      <c r="AD531" s="1468"/>
      <c r="AE531" s="1468"/>
      <c r="AF531" s="1468"/>
      <c r="AG531" s="38" t="s">
        <v>404</v>
      </c>
      <c r="AH531" s="1434">
        <v>2024</v>
      </c>
      <c r="AI531" s="1434"/>
      <c r="AJ531" s="1434"/>
      <c r="AK531" s="1435"/>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417"/>
      <c r="C532" s="1418"/>
      <c r="D532" s="1418"/>
      <c r="E532" s="1418"/>
      <c r="F532" s="1418"/>
      <c r="G532" s="1418"/>
      <c r="H532" s="1419"/>
      <c r="I532" s="42" t="s">
        <v>424</v>
      </c>
      <c r="J532" s="42"/>
      <c r="K532" s="42"/>
      <c r="L532" s="42"/>
      <c r="M532" s="42"/>
      <c r="N532" s="42"/>
      <c r="O532" s="1429" t="s">
        <v>335</v>
      </c>
      <c r="P532" s="1430"/>
      <c r="Q532" s="1430"/>
      <c r="R532" s="1430"/>
      <c r="S532" s="1430"/>
      <c r="T532" s="1430"/>
      <c r="U532" s="1430"/>
      <c r="V532" s="1430"/>
      <c r="W532" s="1430"/>
      <c r="X532" s="1430"/>
      <c r="Y532" s="1430"/>
      <c r="Z532" s="1430"/>
      <c r="AA532" s="1430"/>
      <c r="AC532" s="1467" t="s">
        <v>599</v>
      </c>
      <c r="AD532" s="1468"/>
      <c r="AE532" s="1468"/>
      <c r="AF532" s="1468"/>
      <c r="AG532" s="13" t="s">
        <v>404</v>
      </c>
      <c r="AH532" s="1434"/>
      <c r="AI532" s="1434"/>
      <c r="AJ532" s="1434"/>
      <c r="AK532" s="1435"/>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417"/>
      <c r="C533" s="1418"/>
      <c r="D533" s="1418"/>
      <c r="E533" s="1418"/>
      <c r="F533" s="1418"/>
      <c r="G533" s="1418"/>
      <c r="H533" s="1419"/>
      <c r="I533" t="s">
        <v>422</v>
      </c>
      <c r="AC533" s="1467"/>
      <c r="AD533" s="1468"/>
      <c r="AE533" s="1468"/>
      <c r="AF533" s="1468"/>
      <c r="AG533" s="38" t="s">
        <v>404</v>
      </c>
      <c r="AH533" s="1434"/>
      <c r="AI533" s="1434"/>
      <c r="AJ533" s="1434"/>
      <c r="AK533" s="1435"/>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417"/>
      <c r="C534" s="1418"/>
      <c r="D534" s="1418"/>
      <c r="E534" s="1418"/>
      <c r="F534" s="1418"/>
      <c r="G534" s="1418"/>
      <c r="H534" s="1419"/>
      <c r="I534" s="48" t="s">
        <v>423</v>
      </c>
      <c r="J534" s="48"/>
      <c r="K534" s="48"/>
      <c r="L534" s="48"/>
      <c r="M534" s="48"/>
      <c r="N534" s="48"/>
      <c r="O534" s="48"/>
      <c r="P534" s="48"/>
      <c r="Q534" s="48"/>
      <c r="R534" s="48"/>
      <c r="S534" s="48"/>
      <c r="T534" s="48"/>
      <c r="U534" s="48"/>
      <c r="V534" s="48"/>
      <c r="W534" s="48"/>
      <c r="X534" s="48"/>
      <c r="Y534" s="48"/>
      <c r="Z534" s="48"/>
      <c r="AA534" s="48"/>
      <c r="AB534" s="48"/>
      <c r="AC534" s="1467"/>
      <c r="AD534" s="1468"/>
      <c r="AE534" s="1468"/>
      <c r="AF534" s="1468"/>
      <c r="AG534" s="13" t="s">
        <v>404</v>
      </c>
      <c r="AH534" s="1434"/>
      <c r="AI534" s="1434"/>
      <c r="AJ534" s="1434"/>
      <c r="AK534" s="1435"/>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417"/>
      <c r="C535" s="1418"/>
      <c r="D535" s="1418"/>
      <c r="E535" s="1418"/>
      <c r="F535" s="1418"/>
      <c r="G535" s="1418"/>
      <c r="H535" s="1419"/>
      <c r="I535" s="42" t="s">
        <v>424</v>
      </c>
      <c r="J535" s="42"/>
      <c r="K535" s="42"/>
      <c r="L535" s="42"/>
      <c r="M535" s="42"/>
      <c r="N535" s="42"/>
      <c r="O535" s="1429" t="s">
        <v>335</v>
      </c>
      <c r="P535" s="1430"/>
      <c r="Q535" s="1430"/>
      <c r="R535" s="1430"/>
      <c r="S535" s="1430"/>
      <c r="T535" s="1430"/>
      <c r="U535" s="1430"/>
      <c r="V535" s="1430"/>
      <c r="W535" s="1430"/>
      <c r="X535" s="1430"/>
      <c r="Y535" s="1430"/>
      <c r="Z535" s="1430"/>
      <c r="AA535" s="1430"/>
      <c r="AC535" s="1467" t="s">
        <v>599</v>
      </c>
      <c r="AD535" s="1468"/>
      <c r="AE535" s="1468"/>
      <c r="AF535" s="1468"/>
      <c r="AG535" s="38" t="s">
        <v>404</v>
      </c>
      <c r="AH535" s="1434"/>
      <c r="AI535" s="1434"/>
      <c r="AJ535" s="1434"/>
      <c r="AK535" s="1435"/>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417"/>
      <c r="C536" s="1418"/>
      <c r="D536" s="1418"/>
      <c r="E536" s="1418"/>
      <c r="F536" s="1418"/>
      <c r="G536" s="1418"/>
      <c r="H536" s="1419"/>
      <c r="I536" t="s">
        <v>422</v>
      </c>
      <c r="AC536" s="1467" t="s">
        <v>599</v>
      </c>
      <c r="AD536" s="1468"/>
      <c r="AE536" s="1468"/>
      <c r="AF536" s="1468"/>
      <c r="AG536" s="13" t="s">
        <v>404</v>
      </c>
      <c r="AH536" s="1434"/>
      <c r="AI536" s="1434"/>
      <c r="AJ536" s="1434"/>
      <c r="AK536" s="1435"/>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417"/>
      <c r="C537" s="1418"/>
      <c r="D537" s="1418"/>
      <c r="E537" s="1418"/>
      <c r="F537" s="1418"/>
      <c r="G537" s="1418"/>
      <c r="H537" s="1419"/>
      <c r="I537" s="48" t="s">
        <v>423</v>
      </c>
      <c r="J537" s="48"/>
      <c r="K537" s="48"/>
      <c r="L537" s="48"/>
      <c r="M537" s="48"/>
      <c r="N537" s="48"/>
      <c r="O537" s="48"/>
      <c r="P537" s="48"/>
      <c r="Q537" s="48"/>
      <c r="R537" s="48"/>
      <c r="S537" s="48"/>
      <c r="T537" s="48"/>
      <c r="U537" s="48"/>
      <c r="V537" s="48"/>
      <c r="W537" s="48"/>
      <c r="X537" s="48"/>
      <c r="Y537" s="48"/>
      <c r="Z537" s="48"/>
      <c r="AA537" s="48"/>
      <c r="AB537" s="48"/>
      <c r="AC537" s="1467" t="s">
        <v>599</v>
      </c>
      <c r="AD537" s="1468"/>
      <c r="AE537" s="1468"/>
      <c r="AF537" s="1468"/>
      <c r="AG537" s="38" t="s">
        <v>404</v>
      </c>
      <c r="AH537" s="1434"/>
      <c r="AI537" s="1434"/>
      <c r="AJ537" s="1434"/>
      <c r="AK537" s="1435"/>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417"/>
      <c r="C538" s="1418"/>
      <c r="D538" s="1418"/>
      <c r="E538" s="1418"/>
      <c r="F538" s="1418"/>
      <c r="G538" s="1418"/>
      <c r="H538" s="1419"/>
      <c r="I538" s="42" t="s">
        <v>570</v>
      </c>
      <c r="J538" s="42"/>
      <c r="K538" s="42"/>
      <c r="L538" s="42"/>
      <c r="M538" s="42"/>
      <c r="N538" s="42"/>
      <c r="O538" s="42"/>
      <c r="P538" s="42"/>
      <c r="Q538" s="42"/>
      <c r="R538" s="42"/>
      <c r="S538" s="42"/>
      <c r="T538" s="42"/>
      <c r="U538" s="42"/>
      <c r="V538" s="42"/>
      <c r="W538" s="42"/>
      <c r="AC538" s="1467" t="s">
        <v>599</v>
      </c>
      <c r="AD538" s="1468"/>
      <c r="AE538" s="1468"/>
      <c r="AF538" s="1468"/>
      <c r="AG538" s="38" t="s">
        <v>404</v>
      </c>
      <c r="AH538" s="1434"/>
      <c r="AI538" s="1434"/>
      <c r="AJ538" s="1434"/>
      <c r="AK538" s="143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417"/>
      <c r="C539" s="1418"/>
      <c r="D539" s="1418"/>
      <c r="E539" s="1418"/>
      <c r="F539" s="1418"/>
      <c r="G539" s="1418"/>
      <c r="H539" s="1419"/>
      <c r="I539" t="s">
        <v>571</v>
      </c>
      <c r="AC539" s="1467">
        <v>11</v>
      </c>
      <c r="AD539" s="1468"/>
      <c r="AE539" s="1468"/>
      <c r="AF539" s="1468"/>
      <c r="AG539" s="13" t="s">
        <v>404</v>
      </c>
      <c r="AH539" s="1434">
        <v>2024</v>
      </c>
      <c r="AI539" s="1434"/>
      <c r="AJ539" s="1434"/>
      <c r="AK539" s="143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417"/>
      <c r="C540" s="1418"/>
      <c r="D540" s="1418"/>
      <c r="E540" s="1418"/>
      <c r="F540" s="1418"/>
      <c r="G540" s="1418"/>
      <c r="H540" s="1419"/>
      <c r="I540" t="s">
        <v>572</v>
      </c>
      <c r="AC540" s="1467">
        <v>11</v>
      </c>
      <c r="AD540" s="1468"/>
      <c r="AE540" s="1468"/>
      <c r="AF540" s="1468"/>
      <c r="AG540" s="38" t="s">
        <v>404</v>
      </c>
      <c r="AH540" s="1434">
        <v>2026</v>
      </c>
      <c r="AI540" s="1434"/>
      <c r="AJ540" s="1434"/>
      <c r="AK540" s="143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417"/>
      <c r="C541" s="1418"/>
      <c r="D541" s="1418"/>
      <c r="E541" s="1418"/>
      <c r="F541" s="1418"/>
      <c r="G541" s="1418"/>
      <c r="H541" s="1419"/>
      <c r="I541" t="s">
        <v>573</v>
      </c>
      <c r="AC541" s="1467">
        <v>12</v>
      </c>
      <c r="AD541" s="1468"/>
      <c r="AE541" s="1468"/>
      <c r="AF541" s="1468"/>
      <c r="AG541" s="38" t="s">
        <v>404</v>
      </c>
      <c r="AH541" s="1434">
        <v>2026</v>
      </c>
      <c r="AI541" s="1434"/>
      <c r="AJ541" s="1434"/>
      <c r="AK541" s="143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420"/>
      <c r="C542" s="1421"/>
      <c r="D542" s="1421"/>
      <c r="E542" s="1421"/>
      <c r="F542" s="1421"/>
      <c r="G542" s="1421"/>
      <c r="H542" s="1422"/>
      <c r="I542" s="48" t="s">
        <v>459</v>
      </c>
      <c r="J542" s="48"/>
      <c r="K542" s="48"/>
      <c r="L542" s="48"/>
      <c r="M542" s="48"/>
      <c r="N542" s="48"/>
      <c r="O542" s="48"/>
      <c r="P542" s="48"/>
      <c r="Q542" s="48"/>
      <c r="R542" s="48"/>
      <c r="S542" s="48"/>
      <c r="T542" s="48"/>
      <c r="U542" s="48"/>
      <c r="V542" s="48"/>
      <c r="W542" s="48"/>
      <c r="X542" s="48"/>
      <c r="Y542" s="48"/>
      <c r="Z542" s="48"/>
      <c r="AA542" s="48"/>
      <c r="AB542" s="48"/>
      <c r="AC542" s="1467">
        <v>6</v>
      </c>
      <c r="AD542" s="1468"/>
      <c r="AE542" s="1468"/>
      <c r="AF542" s="1468"/>
      <c r="AG542" s="38" t="s">
        <v>404</v>
      </c>
      <c r="AH542" s="1434">
        <v>2027</v>
      </c>
      <c r="AI542" s="1434"/>
      <c r="AJ542" s="1434"/>
      <c r="AK542" s="143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76" t="s">
        <v>551</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414" t="s">
        <v>2419</v>
      </c>
      <c r="C551" s="1415"/>
      <c r="D551" s="1415"/>
      <c r="E551" s="1415"/>
      <c r="F551" s="1415"/>
      <c r="G551" s="1415"/>
      <c r="H551" s="1415"/>
      <c r="I551" s="1415"/>
      <c r="J551" s="1415"/>
      <c r="K551" s="1415"/>
      <c r="L551" s="1416"/>
      <c r="M551" s="1414" t="s">
        <v>2420</v>
      </c>
      <c r="N551" s="1415"/>
      <c r="O551" s="1415"/>
      <c r="P551" s="1416"/>
      <c r="Q551" s="1414" t="s">
        <v>2446</v>
      </c>
      <c r="R551" s="1415"/>
      <c r="S551" s="1416"/>
      <c r="T551" s="1414" t="s">
        <v>2447</v>
      </c>
      <c r="U551" s="1415"/>
      <c r="V551" s="1416"/>
      <c r="W551" s="1414" t="s">
        <v>461</v>
      </c>
      <c r="X551" s="1415"/>
      <c r="Y551" s="1416"/>
      <c r="Z551" s="1414" t="s">
        <v>2040</v>
      </c>
      <c r="AA551" s="1415"/>
      <c r="AB551" s="1415"/>
      <c r="AC551" s="1415"/>
      <c r="AD551" s="1416"/>
      <c r="AE551" s="1414" t="s">
        <v>1862</v>
      </c>
      <c r="AF551" s="1415"/>
      <c r="AG551" s="1415"/>
      <c r="AH551" s="1416"/>
      <c r="AI551" s="1414" t="s">
        <v>1863</v>
      </c>
      <c r="AJ551" s="1415"/>
      <c r="AK551" s="1415"/>
      <c r="AL551" s="1416"/>
      <c r="AM551" s="1414" t="s">
        <v>462</v>
      </c>
      <c r="AN551" s="1415"/>
      <c r="AO551" s="1415"/>
      <c r="AP551" s="1415"/>
      <c r="AQ551" s="1415"/>
      <c r="AR551" s="1415"/>
      <c r="AS551" s="1416"/>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417"/>
      <c r="C552" s="1418"/>
      <c r="D552" s="1418"/>
      <c r="E552" s="1418"/>
      <c r="F552" s="1418"/>
      <c r="G552" s="1418"/>
      <c r="H552" s="1418"/>
      <c r="I552" s="1418"/>
      <c r="J552" s="1418"/>
      <c r="K552" s="1418"/>
      <c r="L552" s="1419"/>
      <c r="M552" s="1417"/>
      <c r="N552" s="1418"/>
      <c r="O552" s="1418"/>
      <c r="P552" s="1419"/>
      <c r="Q552" s="1417"/>
      <c r="R552" s="1418"/>
      <c r="S552" s="1419"/>
      <c r="T552" s="1417"/>
      <c r="U552" s="1418"/>
      <c r="V552" s="1419"/>
      <c r="W552" s="1417"/>
      <c r="X552" s="1418"/>
      <c r="Y552" s="1419"/>
      <c r="Z552" s="1417"/>
      <c r="AA552" s="1418"/>
      <c r="AB552" s="1418"/>
      <c r="AC552" s="1418"/>
      <c r="AD552" s="1419"/>
      <c r="AE552" s="1417"/>
      <c r="AF552" s="1418"/>
      <c r="AG552" s="1418"/>
      <c r="AH552" s="1419"/>
      <c r="AI552" s="1417"/>
      <c r="AJ552" s="1418"/>
      <c r="AK552" s="1418"/>
      <c r="AL552" s="1419"/>
      <c r="AM552" s="1417"/>
      <c r="AN552" s="1418"/>
      <c r="AO552" s="1418"/>
      <c r="AP552" s="1418"/>
      <c r="AQ552" s="1418"/>
      <c r="AR552" s="1418"/>
      <c r="AS552" s="141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420"/>
      <c r="C553" s="1421"/>
      <c r="D553" s="1421"/>
      <c r="E553" s="1421"/>
      <c r="F553" s="1421"/>
      <c r="G553" s="1421"/>
      <c r="H553" s="1421"/>
      <c r="I553" s="1421"/>
      <c r="J553" s="1421"/>
      <c r="K553" s="1421"/>
      <c r="L553" s="1422"/>
      <c r="M553" s="1420"/>
      <c r="N553" s="1421"/>
      <c r="O553" s="1421"/>
      <c r="P553" s="1422"/>
      <c r="Q553" s="1420"/>
      <c r="R553" s="1421"/>
      <c r="S553" s="1422"/>
      <c r="T553" s="1420"/>
      <c r="U553" s="1421"/>
      <c r="V553" s="1422"/>
      <c r="W553" s="1420"/>
      <c r="X553" s="1421"/>
      <c r="Y553" s="1422"/>
      <c r="Z553" s="1420"/>
      <c r="AA553" s="1421"/>
      <c r="AB553" s="1421"/>
      <c r="AC553" s="1421"/>
      <c r="AD553" s="1422"/>
      <c r="AE553" s="1420"/>
      <c r="AF553" s="1421"/>
      <c r="AG553" s="1421"/>
      <c r="AH553" s="1422"/>
      <c r="AI553" s="1420"/>
      <c r="AJ553" s="1421"/>
      <c r="AK553" s="1421"/>
      <c r="AL553" s="1422"/>
      <c r="AM553" s="1420"/>
      <c r="AN553" s="1421"/>
      <c r="AO553" s="1421"/>
      <c r="AP553" s="1421"/>
      <c r="AQ553" s="1421"/>
      <c r="AR553" s="1421"/>
      <c r="AS553" s="142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1" t="s">
        <v>112</v>
      </c>
      <c r="C554" s="1506" t="s">
        <v>2641</v>
      </c>
      <c r="D554" s="1506"/>
      <c r="E554" s="1506"/>
      <c r="F554" s="1506"/>
      <c r="G554" s="1506"/>
      <c r="H554" s="1506"/>
      <c r="I554" s="1506"/>
      <c r="J554" s="1506"/>
      <c r="K554" s="1506"/>
      <c r="L554" s="1506"/>
      <c r="M554" s="1506" t="s">
        <v>2436</v>
      </c>
      <c r="N554" s="1506"/>
      <c r="O554" s="1506"/>
      <c r="P554" s="1506"/>
      <c r="Q554" s="1437">
        <v>24</v>
      </c>
      <c r="R554" s="1437"/>
      <c r="S554" s="1438"/>
      <c r="T554" s="1436"/>
      <c r="U554" s="1437"/>
      <c r="V554" s="1438"/>
      <c r="W554" s="1493">
        <v>7.0000000000000007E-2</v>
      </c>
      <c r="X554" s="1494"/>
      <c r="Y554" s="1495"/>
      <c r="Z554" s="1505" t="s">
        <v>2715</v>
      </c>
      <c r="AA554" s="1505"/>
      <c r="AB554" s="1505"/>
      <c r="AC554" s="1505"/>
      <c r="AD554" s="1505"/>
      <c r="AE554" s="1431">
        <v>1</v>
      </c>
      <c r="AF554" s="1432"/>
      <c r="AG554" s="1432"/>
      <c r="AH554" s="1433"/>
      <c r="AI554" s="1490"/>
      <c r="AJ554" s="1491"/>
      <c r="AK554" s="1491"/>
      <c r="AL554" s="1492"/>
      <c r="AM554" s="1440">
        <v>39050000</v>
      </c>
      <c r="AN554" s="1441"/>
      <c r="AO554" s="1441"/>
      <c r="AP554" s="1441"/>
      <c r="AQ554" s="1441"/>
      <c r="AR554" s="1441"/>
      <c r="AS554" s="144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113</v>
      </c>
      <c r="C555" s="1496" t="s">
        <v>2642</v>
      </c>
      <c r="D555" s="1496"/>
      <c r="E555" s="1496"/>
      <c r="F555" s="1496"/>
      <c r="G555" s="1496"/>
      <c r="H555" s="1496"/>
      <c r="I555" s="1496"/>
      <c r="J555" s="1496"/>
      <c r="K555" s="1496"/>
      <c r="L555" s="1496"/>
      <c r="M555" s="1506" t="s">
        <v>2437</v>
      </c>
      <c r="N555" s="1506"/>
      <c r="O555" s="1506"/>
      <c r="P555" s="1506"/>
      <c r="Q555" s="1436">
        <v>24</v>
      </c>
      <c r="R555" s="1437"/>
      <c r="S555" s="1438"/>
      <c r="T555" s="1436"/>
      <c r="U555" s="1437"/>
      <c r="V555" s="1438"/>
      <c r="W555" s="1493">
        <v>7.0000000000000007E-2</v>
      </c>
      <c r="X555" s="1494"/>
      <c r="Y555" s="1495"/>
      <c r="Z555" s="1505" t="s">
        <v>2715</v>
      </c>
      <c r="AA555" s="1505"/>
      <c r="AB555" s="1505"/>
      <c r="AC555" s="1505"/>
      <c r="AD555" s="1505"/>
      <c r="AE555" s="1431">
        <v>1</v>
      </c>
      <c r="AF555" s="1432"/>
      <c r="AG555" s="1432"/>
      <c r="AH555" s="1433"/>
      <c r="AI555" s="1490"/>
      <c r="AJ555" s="1491"/>
      <c r="AK555" s="1491"/>
      <c r="AL555" s="1492"/>
      <c r="AM555" s="1440">
        <v>6750000</v>
      </c>
      <c r="AN555" s="1441"/>
      <c r="AO555" s="1441"/>
      <c r="AP555" s="1441"/>
      <c r="AQ555" s="1441"/>
      <c r="AR555" s="1441"/>
      <c r="AS555" s="144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119</v>
      </c>
      <c r="C556" s="1496" t="s">
        <v>2721</v>
      </c>
      <c r="D556" s="1496"/>
      <c r="E556" s="1496"/>
      <c r="F556" s="1496"/>
      <c r="G556" s="1496"/>
      <c r="H556" s="1496"/>
      <c r="I556" s="1496"/>
      <c r="J556" s="1496"/>
      <c r="K556" s="1496"/>
      <c r="L556" s="1496"/>
      <c r="M556" s="1506" t="s">
        <v>2432</v>
      </c>
      <c r="N556" s="1506"/>
      <c r="O556" s="1506"/>
      <c r="P556" s="1506"/>
      <c r="Q556" s="1436">
        <v>660</v>
      </c>
      <c r="R556" s="1437"/>
      <c r="S556" s="1438"/>
      <c r="T556" s="1436"/>
      <c r="U556" s="1437"/>
      <c r="V556" s="1438"/>
      <c r="W556" s="1493">
        <v>0.04</v>
      </c>
      <c r="X556" s="1494"/>
      <c r="Y556" s="1495"/>
      <c r="Z556" s="1505" t="s">
        <v>2715</v>
      </c>
      <c r="AA556" s="1505"/>
      <c r="AB556" s="1505"/>
      <c r="AC556" s="1505"/>
      <c r="AD556" s="1505"/>
      <c r="AE556" s="1431">
        <v>2</v>
      </c>
      <c r="AF556" s="1432"/>
      <c r="AG556" s="1432"/>
      <c r="AH556" s="1433"/>
      <c r="AI556" s="1490"/>
      <c r="AJ556" s="1491"/>
      <c r="AK556" s="1491"/>
      <c r="AL556" s="1492"/>
      <c r="AM556" s="1440">
        <v>5157949</v>
      </c>
      <c r="AN556" s="1441"/>
      <c r="AO556" s="1441"/>
      <c r="AP556" s="1441"/>
      <c r="AQ556" s="1441"/>
      <c r="AR556" s="1441"/>
      <c r="AS556" s="144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589</v>
      </c>
      <c r="C557" s="1496" t="s">
        <v>2714</v>
      </c>
      <c r="D557" s="1496"/>
      <c r="E557" s="1496"/>
      <c r="F557" s="1496"/>
      <c r="G557" s="1496"/>
      <c r="H557" s="1496"/>
      <c r="I557" s="1496"/>
      <c r="J557" s="1496"/>
      <c r="K557" s="1496"/>
      <c r="L557" s="1496"/>
      <c r="M557" s="1506" t="s">
        <v>2432</v>
      </c>
      <c r="N557" s="1506"/>
      <c r="O557" s="1506"/>
      <c r="P557" s="1506"/>
      <c r="Q557" s="1436">
        <v>660</v>
      </c>
      <c r="R557" s="1437"/>
      <c r="S557" s="1438"/>
      <c r="T557" s="1436"/>
      <c r="U557" s="1437"/>
      <c r="V557" s="1438"/>
      <c r="W557" s="1493">
        <v>0.04</v>
      </c>
      <c r="X557" s="1494"/>
      <c r="Y557" s="1495"/>
      <c r="Z557" s="1505" t="s">
        <v>2715</v>
      </c>
      <c r="AA557" s="1505"/>
      <c r="AB557" s="1505"/>
      <c r="AC557" s="1505"/>
      <c r="AD557" s="1505"/>
      <c r="AE557" s="1431">
        <v>3</v>
      </c>
      <c r="AF557" s="1432"/>
      <c r="AG557" s="1432"/>
      <c r="AH557" s="1433"/>
      <c r="AI557" s="1490"/>
      <c r="AJ557" s="1491"/>
      <c r="AK557" s="1491"/>
      <c r="AL557" s="1492"/>
      <c r="AM557" s="1440">
        <v>1280000</v>
      </c>
      <c r="AN557" s="1441"/>
      <c r="AO557" s="1441"/>
      <c r="AP557" s="1441"/>
      <c r="AQ557" s="1441"/>
      <c r="AR557" s="1441"/>
      <c r="AS557" s="144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772</v>
      </c>
      <c r="C558" s="1496" t="s">
        <v>2660</v>
      </c>
      <c r="D558" s="1496"/>
      <c r="E558" s="1496"/>
      <c r="F558" s="1496"/>
      <c r="G558" s="1496"/>
      <c r="H558" s="1496"/>
      <c r="I558" s="1496"/>
      <c r="J558" s="1496"/>
      <c r="K558" s="1496"/>
      <c r="L558" s="1496"/>
      <c r="M558" s="1506" t="s">
        <v>2427</v>
      </c>
      <c r="N558" s="1506"/>
      <c r="O558" s="1506"/>
      <c r="P558" s="1506"/>
      <c r="Q558" s="1436"/>
      <c r="R558" s="1437"/>
      <c r="S558" s="1438"/>
      <c r="T558" s="1436"/>
      <c r="U558" s="1437"/>
      <c r="V558" s="1438"/>
      <c r="W558" s="1493"/>
      <c r="X558" s="1494"/>
      <c r="Y558" s="1495"/>
      <c r="Z558" s="1505" t="s">
        <v>599</v>
      </c>
      <c r="AA558" s="1505"/>
      <c r="AB558" s="1505"/>
      <c r="AC558" s="1505"/>
      <c r="AD558" s="1505"/>
      <c r="AE558" s="1431"/>
      <c r="AF558" s="1432"/>
      <c r="AG558" s="1432"/>
      <c r="AH558" s="1433"/>
      <c r="AI558" s="1490"/>
      <c r="AJ558" s="1491"/>
      <c r="AK558" s="1491"/>
      <c r="AL558" s="1492"/>
      <c r="AM558" s="1440">
        <v>3196000</v>
      </c>
      <c r="AN558" s="1441"/>
      <c r="AO558" s="1441"/>
      <c r="AP558" s="1441"/>
      <c r="AQ558" s="1441"/>
      <c r="AR558" s="1441"/>
      <c r="AS558" s="1442"/>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592</v>
      </c>
      <c r="C559" s="1496" t="s">
        <v>2776</v>
      </c>
      <c r="D559" s="1496"/>
      <c r="E559" s="1496"/>
      <c r="F559" s="1496"/>
      <c r="G559" s="1496"/>
      <c r="H559" s="1496"/>
      <c r="I559" s="1496"/>
      <c r="J559" s="1496"/>
      <c r="K559" s="1496"/>
      <c r="L559" s="1496"/>
      <c r="M559" s="1506" t="s">
        <v>2422</v>
      </c>
      <c r="N559" s="1506"/>
      <c r="O559" s="1506"/>
      <c r="P559" s="1506"/>
      <c r="Q559" s="1436"/>
      <c r="R559" s="1437"/>
      <c r="S559" s="1438"/>
      <c r="T559" s="1436"/>
      <c r="U559" s="1437"/>
      <c r="V559" s="1438"/>
      <c r="W559" s="1493"/>
      <c r="X559" s="1494"/>
      <c r="Y559" s="1495"/>
      <c r="Z559" s="1505" t="s">
        <v>599</v>
      </c>
      <c r="AA559" s="1505"/>
      <c r="AB559" s="1505"/>
      <c r="AC559" s="1505"/>
      <c r="AD559" s="1505"/>
      <c r="AE559" s="1431"/>
      <c r="AF559" s="1432"/>
      <c r="AG559" s="1432"/>
      <c r="AH559" s="1433"/>
      <c r="AI559" s="1490"/>
      <c r="AJ559" s="1491"/>
      <c r="AK559" s="1491"/>
      <c r="AL559" s="1492"/>
      <c r="AM559" s="1440">
        <f>+AO641-AM554-AM555-AM556-AM557-AM558</f>
        <v>24524312</v>
      </c>
      <c r="AN559" s="1441"/>
      <c r="AO559" s="1441"/>
      <c r="AP559" s="1441"/>
      <c r="AQ559" s="1441"/>
      <c r="AR559" s="1441"/>
      <c r="AS559" s="1442"/>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463</v>
      </c>
      <c r="C560" s="1496"/>
      <c r="D560" s="1496"/>
      <c r="E560" s="1496"/>
      <c r="F560" s="1496"/>
      <c r="G560" s="1496"/>
      <c r="H560" s="1496"/>
      <c r="I560" s="1496"/>
      <c r="J560" s="1496"/>
      <c r="K560" s="1496"/>
      <c r="L560" s="1496"/>
      <c r="M560" s="1506" t="s">
        <v>1290</v>
      </c>
      <c r="N560" s="1506"/>
      <c r="O560" s="1506"/>
      <c r="P560" s="1506"/>
      <c r="Q560" s="1436"/>
      <c r="R560" s="1437"/>
      <c r="S560" s="1438"/>
      <c r="T560" s="1436"/>
      <c r="U560" s="1437"/>
      <c r="V560" s="1438"/>
      <c r="W560" s="1493"/>
      <c r="X560" s="1494"/>
      <c r="Y560" s="1495"/>
      <c r="Z560" s="1505" t="s">
        <v>1290</v>
      </c>
      <c r="AA560" s="1505"/>
      <c r="AB560" s="1505"/>
      <c r="AC560" s="1505"/>
      <c r="AD560" s="1505"/>
      <c r="AE560" s="1431"/>
      <c r="AF560" s="1432"/>
      <c r="AG560" s="1432"/>
      <c r="AH560" s="1433"/>
      <c r="AI560" s="1490"/>
      <c r="AJ560" s="1491"/>
      <c r="AK560" s="1491"/>
      <c r="AL560" s="1492"/>
      <c r="AM560" s="1440"/>
      <c r="AN560" s="1441"/>
      <c r="AO560" s="1441"/>
      <c r="AP560" s="1441"/>
      <c r="AQ560" s="1441"/>
      <c r="AR560" s="1441"/>
      <c r="AS560" s="144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464</v>
      </c>
      <c r="C561" s="1496"/>
      <c r="D561" s="1496"/>
      <c r="E561" s="1496"/>
      <c r="F561" s="1496"/>
      <c r="G561" s="1496"/>
      <c r="H561" s="1496"/>
      <c r="I561" s="1496"/>
      <c r="J561" s="1496"/>
      <c r="K561" s="1496"/>
      <c r="L561" s="1496"/>
      <c r="M561" s="1506" t="s">
        <v>1290</v>
      </c>
      <c r="N561" s="1506"/>
      <c r="O561" s="1506"/>
      <c r="P561" s="1506"/>
      <c r="Q561" s="1436"/>
      <c r="R561" s="1437"/>
      <c r="S561" s="1438"/>
      <c r="T561" s="1436"/>
      <c r="U561" s="1437"/>
      <c r="V561" s="1438"/>
      <c r="W561" s="1493"/>
      <c r="X561" s="1494"/>
      <c r="Y561" s="1495"/>
      <c r="Z561" s="1505" t="s">
        <v>1290</v>
      </c>
      <c r="AA561" s="1505"/>
      <c r="AB561" s="1505"/>
      <c r="AC561" s="1505"/>
      <c r="AD561" s="1505"/>
      <c r="AE561" s="1431"/>
      <c r="AF561" s="1432"/>
      <c r="AG561" s="1432"/>
      <c r="AH561" s="1433"/>
      <c r="AI561" s="1490"/>
      <c r="AJ561" s="1491"/>
      <c r="AK561" s="1491"/>
      <c r="AL561" s="1492"/>
      <c r="AM561" s="1440"/>
      <c r="AN561" s="1441"/>
      <c r="AO561" s="1441"/>
      <c r="AP561" s="1441"/>
      <c r="AQ561" s="1441"/>
      <c r="AR561" s="1441"/>
      <c r="AS561" s="144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52" t="s">
        <v>469</v>
      </c>
      <c r="C562" s="1496"/>
      <c r="D562" s="1496"/>
      <c r="E562" s="1496"/>
      <c r="F562" s="1496"/>
      <c r="G562" s="1496"/>
      <c r="H562" s="1496"/>
      <c r="I562" s="1496"/>
      <c r="J562" s="1496"/>
      <c r="K562" s="1496"/>
      <c r="L562" s="1496"/>
      <c r="M562" s="1506" t="s">
        <v>1290</v>
      </c>
      <c r="N562" s="1506"/>
      <c r="O562" s="1506"/>
      <c r="P562" s="1506"/>
      <c r="Q562" s="1436"/>
      <c r="R562" s="1437"/>
      <c r="S562" s="1438"/>
      <c r="T562" s="1436"/>
      <c r="U562" s="1437"/>
      <c r="V562" s="1438"/>
      <c r="W562" s="1493"/>
      <c r="X562" s="1494"/>
      <c r="Y562" s="1495"/>
      <c r="Z562" s="1505" t="s">
        <v>1290</v>
      </c>
      <c r="AA562" s="1505"/>
      <c r="AB562" s="1505"/>
      <c r="AC562" s="1505"/>
      <c r="AD562" s="1505"/>
      <c r="AE562" s="1431"/>
      <c r="AF562" s="1432"/>
      <c r="AG562" s="1432"/>
      <c r="AH562" s="1433"/>
      <c r="AI562" s="1490"/>
      <c r="AJ562" s="1491"/>
      <c r="AK562" s="1491"/>
      <c r="AL562" s="1492"/>
      <c r="AM562" s="1440"/>
      <c r="AN562" s="1441"/>
      <c r="AO562" s="1441"/>
      <c r="AP562" s="1441"/>
      <c r="AQ562" s="1441"/>
      <c r="AR562" s="1441"/>
      <c r="AS562" s="144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2" t="s">
        <v>654</v>
      </c>
      <c r="C563" s="1496"/>
      <c r="D563" s="1496"/>
      <c r="E563" s="1496"/>
      <c r="F563" s="1496"/>
      <c r="G563" s="1496"/>
      <c r="H563" s="1496"/>
      <c r="I563" s="1496"/>
      <c r="J563" s="1496"/>
      <c r="K563" s="1496"/>
      <c r="L563" s="1496"/>
      <c r="M563" s="1506" t="s">
        <v>1290</v>
      </c>
      <c r="N563" s="1506"/>
      <c r="O563" s="1506"/>
      <c r="P563" s="1506"/>
      <c r="Q563" s="1436"/>
      <c r="R563" s="1437"/>
      <c r="S563" s="1438"/>
      <c r="T563" s="1436"/>
      <c r="U563" s="1437"/>
      <c r="V563" s="1438"/>
      <c r="W563" s="1493"/>
      <c r="X563" s="1494"/>
      <c r="Y563" s="1495"/>
      <c r="Z563" s="1505" t="s">
        <v>1290</v>
      </c>
      <c r="AA563" s="1505"/>
      <c r="AB563" s="1505"/>
      <c r="AC563" s="1505"/>
      <c r="AD563" s="1505"/>
      <c r="AE563" s="1431"/>
      <c r="AF563" s="1432"/>
      <c r="AG563" s="1432"/>
      <c r="AH563" s="1433"/>
      <c r="AI563" s="1490"/>
      <c r="AJ563" s="1491"/>
      <c r="AK563" s="1491"/>
      <c r="AL563" s="1492"/>
      <c r="AM563" s="1440"/>
      <c r="AN563" s="1441"/>
      <c r="AO563" s="1441"/>
      <c r="AP563" s="1441"/>
      <c r="AQ563" s="1441"/>
      <c r="AR563" s="1441"/>
      <c r="AS563" s="144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52" t="s">
        <v>363</v>
      </c>
      <c r="C564" s="1496"/>
      <c r="D564" s="1496"/>
      <c r="E564" s="1496"/>
      <c r="F564" s="1496"/>
      <c r="G564" s="1496"/>
      <c r="H564" s="1496"/>
      <c r="I564" s="1496"/>
      <c r="J564" s="1496"/>
      <c r="K564" s="1496"/>
      <c r="L564" s="1496"/>
      <c r="M564" s="1506" t="s">
        <v>1290</v>
      </c>
      <c r="N564" s="1506"/>
      <c r="O564" s="1506"/>
      <c r="P564" s="1506"/>
      <c r="Q564" s="1436"/>
      <c r="R564" s="1437"/>
      <c r="S564" s="1438"/>
      <c r="T564" s="1436"/>
      <c r="U564" s="1437"/>
      <c r="V564" s="1438"/>
      <c r="W564" s="1493"/>
      <c r="X564" s="1494"/>
      <c r="Y564" s="1495"/>
      <c r="Z564" s="1505" t="s">
        <v>1290</v>
      </c>
      <c r="AA564" s="1505"/>
      <c r="AB564" s="1505"/>
      <c r="AC564" s="1505"/>
      <c r="AD564" s="1505"/>
      <c r="AE564" s="1431"/>
      <c r="AF564" s="1432"/>
      <c r="AG564" s="1432"/>
      <c r="AH564" s="1433"/>
      <c r="AI564" s="1490"/>
      <c r="AJ564" s="1491"/>
      <c r="AK564" s="1491"/>
      <c r="AL564" s="1492"/>
      <c r="AM564" s="1440"/>
      <c r="AN564" s="1441"/>
      <c r="AO564" s="1441"/>
      <c r="AP564" s="1441"/>
      <c r="AQ564" s="1441"/>
      <c r="AR564" s="1441"/>
      <c r="AS564" s="144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52" t="s">
        <v>364</v>
      </c>
      <c r="C565" s="1496"/>
      <c r="D565" s="1496"/>
      <c r="E565" s="1496"/>
      <c r="F565" s="1496"/>
      <c r="G565" s="1496"/>
      <c r="H565" s="1496"/>
      <c r="I565" s="1496"/>
      <c r="J565" s="1496"/>
      <c r="K565" s="1496"/>
      <c r="L565" s="1496"/>
      <c r="M565" s="1506" t="s">
        <v>1290</v>
      </c>
      <c r="N565" s="1506"/>
      <c r="O565" s="1506"/>
      <c r="P565" s="1506"/>
      <c r="Q565" s="1436"/>
      <c r="R565" s="1437"/>
      <c r="S565" s="1438"/>
      <c r="T565" s="1436"/>
      <c r="U565" s="1437"/>
      <c r="V565" s="1438"/>
      <c r="W565" s="1493"/>
      <c r="X565" s="1494"/>
      <c r="Y565" s="1495"/>
      <c r="Z565" s="1505" t="s">
        <v>1290</v>
      </c>
      <c r="AA565" s="1505"/>
      <c r="AB565" s="1505"/>
      <c r="AC565" s="1505"/>
      <c r="AD565" s="1505"/>
      <c r="AE565" s="1431"/>
      <c r="AF565" s="1432"/>
      <c r="AG565" s="1432"/>
      <c r="AH565" s="1433"/>
      <c r="AI565" s="1490"/>
      <c r="AJ565" s="1491"/>
      <c r="AK565" s="1491"/>
      <c r="AL565" s="1492"/>
      <c r="AM565" s="1440"/>
      <c r="AN565" s="1441"/>
      <c r="AO565" s="1441"/>
      <c r="AP565" s="1441"/>
      <c r="AQ565" s="1441"/>
      <c r="AR565" s="1441"/>
      <c r="AS565" s="144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594" t="s">
        <v>127</v>
      </c>
      <c r="C566" s="1595"/>
      <c r="D566" s="1595"/>
      <c r="E566" s="1595"/>
      <c r="F566" s="1595"/>
      <c r="G566" s="1595"/>
      <c r="H566" s="1595"/>
      <c r="I566" s="1595"/>
      <c r="J566" s="1595"/>
      <c r="K566" s="1595"/>
      <c r="L566" s="1595"/>
      <c r="M566" s="1595"/>
      <c r="N566" s="1595"/>
      <c r="O566" s="1595"/>
      <c r="P566" s="1595"/>
      <c r="Q566" s="1595"/>
      <c r="R566" s="1595"/>
      <c r="S566" s="1595"/>
      <c r="T566" s="1595"/>
      <c r="U566" s="1702"/>
      <c r="V566" s="1595"/>
      <c r="W566" s="1595"/>
      <c r="X566" s="1595"/>
      <c r="Y566" s="1595"/>
      <c r="Z566" s="1595"/>
      <c r="AA566" s="1595"/>
      <c r="AB566" s="1595"/>
      <c r="AC566" s="1595"/>
      <c r="AD566" s="1595"/>
      <c r="AE566" s="1595"/>
      <c r="AF566" s="1595"/>
      <c r="AG566" s="1595"/>
      <c r="AH566" s="1595"/>
      <c r="AI566" s="1595"/>
      <c r="AJ566" s="1595"/>
      <c r="AK566" s="1595"/>
      <c r="AL566" s="1596"/>
      <c r="AM566" s="1610">
        <f>SUM(AM554:AS565)</f>
        <v>79958261</v>
      </c>
      <c r="AN566" s="1611"/>
      <c r="AO566" s="1611"/>
      <c r="AP566" s="1611"/>
      <c r="AQ566" s="1611"/>
      <c r="AR566" s="1611"/>
      <c r="AS566" s="1612"/>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55" t="s">
        <v>112</v>
      </c>
      <c r="B568" t="s">
        <v>471</v>
      </c>
      <c r="G568" s="1375" t="str">
        <f>C554</f>
        <v>Tax Exempt Bonds</v>
      </c>
      <c r="H568" s="1375"/>
      <c r="I568" s="1375"/>
      <c r="J568" s="1375"/>
      <c r="K568" s="1375"/>
      <c r="L568" s="1375"/>
      <c r="M568" s="1375"/>
      <c r="N568" s="1375"/>
      <c r="O568" s="1375"/>
      <c r="P568" s="1375"/>
      <c r="Q568" s="1375"/>
      <c r="R568" s="1375"/>
      <c r="S568" s="8"/>
      <c r="T568" s="55" t="s">
        <v>113</v>
      </c>
      <c r="U568" t="s">
        <v>471</v>
      </c>
      <c r="Z568" s="1375" t="str">
        <f>C555</f>
        <v>Recycled Bonds</v>
      </c>
      <c r="AA568" s="1375"/>
      <c r="AB568" s="1375"/>
      <c r="AC568" s="1375"/>
      <c r="AD568" s="1375"/>
      <c r="AE568" s="1375"/>
      <c r="AF568" s="1375"/>
      <c r="AG568" s="1375"/>
      <c r="AH568" s="1375"/>
      <c r="AI568" s="1375"/>
      <c r="AJ568" s="1375"/>
      <c r="AK568" s="137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85</v>
      </c>
      <c r="G569" s="1364" t="s">
        <v>2750</v>
      </c>
      <c r="H569" s="1364"/>
      <c r="I569" s="1364"/>
      <c r="J569" s="1364"/>
      <c r="K569" s="1364"/>
      <c r="L569" s="1364"/>
      <c r="M569" s="1364"/>
      <c r="N569" s="1364"/>
      <c r="O569" s="1364"/>
      <c r="P569" s="1364"/>
      <c r="Q569" s="1364"/>
      <c r="R569" s="1364"/>
      <c r="S569" s="8"/>
      <c r="T569" s="22"/>
      <c r="U569" t="s">
        <v>85</v>
      </c>
      <c r="Z569" s="1364" t="s">
        <v>2750</v>
      </c>
      <c r="AA569" s="1364"/>
      <c r="AB569" s="1364"/>
      <c r="AC569" s="1364"/>
      <c r="AD569" s="1364"/>
      <c r="AE569" s="1364"/>
      <c r="AF569" s="1364"/>
      <c r="AG569" s="1364"/>
      <c r="AH569" s="1364"/>
      <c r="AI569" s="1364"/>
      <c r="AJ569" s="1364"/>
      <c r="AK569" s="136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t="s">
        <v>588</v>
      </c>
      <c r="G570" s="1364" t="s">
        <v>2751</v>
      </c>
      <c r="H570" s="1364"/>
      <c r="I570" s="1364"/>
      <c r="J570" s="1364"/>
      <c r="K570" s="1364"/>
      <c r="L570" s="1364"/>
      <c r="M570" s="1364"/>
      <c r="N570" s="1364"/>
      <c r="O570" s="1364"/>
      <c r="P570" s="1364"/>
      <c r="Q570" s="1364"/>
      <c r="R570" s="1364"/>
      <c r="T570" s="22"/>
      <c r="U570" t="s">
        <v>588</v>
      </c>
      <c r="Z570" s="1376" t="s">
        <v>2751</v>
      </c>
      <c r="AA570" s="1376"/>
      <c r="AB570" s="1376"/>
      <c r="AC570" s="1376"/>
      <c r="AD570" s="1376"/>
      <c r="AE570" s="1376"/>
      <c r="AF570" s="1376"/>
      <c r="AG570" s="1376"/>
      <c r="AH570" s="1376"/>
      <c r="AI570" s="1376"/>
      <c r="AJ570" s="1376"/>
      <c r="AK570" s="137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17</v>
      </c>
      <c r="G571" s="1364" t="s">
        <v>2752</v>
      </c>
      <c r="H571" s="1364"/>
      <c r="I571" s="1364"/>
      <c r="J571" s="1364"/>
      <c r="K571" s="1364"/>
      <c r="L571" s="1364"/>
      <c r="M571" s="1364"/>
      <c r="N571" s="1364"/>
      <c r="O571" s="1364"/>
      <c r="P571" s="1364"/>
      <c r="Q571" s="1364"/>
      <c r="R571" s="1364"/>
      <c r="S571" s="8"/>
      <c r="T571" s="22"/>
      <c r="U571" t="s">
        <v>17</v>
      </c>
      <c r="Z571" s="1376" t="s">
        <v>2752</v>
      </c>
      <c r="AA571" s="1376"/>
      <c r="AB571" s="1376"/>
      <c r="AC571" s="1376"/>
      <c r="AD571" s="1376"/>
      <c r="AE571" s="1376"/>
      <c r="AF571" s="1376"/>
      <c r="AG571" s="1376"/>
      <c r="AH571" s="1376"/>
      <c r="AI571" s="1376"/>
      <c r="AJ571" s="1376"/>
      <c r="AK571" s="137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B572" t="s">
        <v>317</v>
      </c>
      <c r="G572" s="1396" t="s">
        <v>2753</v>
      </c>
      <c r="H572" s="1396"/>
      <c r="I572" s="1396"/>
      <c r="J572" s="1396"/>
      <c r="K572" s="1396"/>
      <c r="L572" s="1396"/>
      <c r="O572" s="33" t="s">
        <v>207</v>
      </c>
      <c r="P572" s="1377"/>
      <c r="Q572" s="1377"/>
      <c r="R572" s="1377"/>
      <c r="S572" s="10"/>
      <c r="T572" s="22"/>
      <c r="U572" t="s">
        <v>317</v>
      </c>
      <c r="Z572" s="1396" t="s">
        <v>2753</v>
      </c>
      <c r="AA572" s="1396"/>
      <c r="AB572" s="1396"/>
      <c r="AC572" s="1396"/>
      <c r="AD572" s="1396"/>
      <c r="AE572" s="1396"/>
      <c r="AH572" s="33" t="s">
        <v>207</v>
      </c>
      <c r="AI572" s="1377"/>
      <c r="AJ572" s="1377"/>
      <c r="AK572" s="137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2"/>
      <c r="B573" t="s">
        <v>18</v>
      </c>
      <c r="H573" s="1364" t="s">
        <v>2769</v>
      </c>
      <c r="I573" s="1364"/>
      <c r="J573" s="1364"/>
      <c r="K573" s="1364"/>
      <c r="L573" s="1364"/>
      <c r="M573" s="1364"/>
      <c r="N573" s="1364"/>
      <c r="O573" s="1364"/>
      <c r="P573" s="1364"/>
      <c r="Q573" s="1364"/>
      <c r="R573" s="1364"/>
      <c r="S573" s="8"/>
      <c r="T573" s="22"/>
      <c r="U573" t="s">
        <v>18</v>
      </c>
      <c r="AA573" s="1364" t="s">
        <v>2769</v>
      </c>
      <c r="AB573" s="1364"/>
      <c r="AC573" s="1364"/>
      <c r="AD573" s="1364"/>
      <c r="AE573" s="1364"/>
      <c r="AF573" s="1364"/>
      <c r="AG573" s="1364"/>
      <c r="AH573" s="1364"/>
      <c r="AI573" s="1364"/>
      <c r="AJ573" s="1364"/>
      <c r="AK573" s="136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s="348" t="s">
        <v>1291</v>
      </c>
      <c r="H574" s="8"/>
      <c r="I574" s="8"/>
      <c r="J574" s="8"/>
      <c r="K574" s="8"/>
      <c r="L574" s="8"/>
      <c r="M574" s="1513"/>
      <c r="N574" s="1513"/>
      <c r="O574" s="1513"/>
      <c r="P574" s="1513"/>
      <c r="Q574" s="1513"/>
      <c r="R574" s="1513"/>
      <c r="S574" s="8"/>
      <c r="T574" s="22"/>
      <c r="U574" s="348" t="s">
        <v>1291</v>
      </c>
      <c r="AA574" s="8"/>
      <c r="AB574" s="8"/>
      <c r="AC574" s="8"/>
      <c r="AD574" s="8"/>
      <c r="AE574" s="8"/>
      <c r="AF574" s="1513"/>
      <c r="AG574" s="1513"/>
      <c r="AH574" s="1513"/>
      <c r="AI574" s="1513"/>
      <c r="AJ574" s="1513"/>
      <c r="AK574" s="151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20</v>
      </c>
      <c r="N575" s="1374" t="s">
        <v>553</v>
      </c>
      <c r="O575" s="1374"/>
      <c r="T575" s="22"/>
      <c r="U575" t="s">
        <v>20</v>
      </c>
      <c r="AG575" s="1374" t="s">
        <v>553</v>
      </c>
      <c r="AH575" s="137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55" t="s">
        <v>119</v>
      </c>
      <c r="B577" t="s">
        <v>471</v>
      </c>
      <c r="G577" s="1375" t="str">
        <f>C556</f>
        <v>City of Santa Paula Deferred Impact Fees</v>
      </c>
      <c r="H577" s="1375"/>
      <c r="I577" s="1375"/>
      <c r="J577" s="1375"/>
      <c r="K577" s="1375"/>
      <c r="L577" s="1375"/>
      <c r="M577" s="1375"/>
      <c r="N577" s="1375"/>
      <c r="O577" s="1375"/>
      <c r="P577" s="1375"/>
      <c r="Q577" s="1375"/>
      <c r="R577" s="1375"/>
      <c r="T577" s="55" t="s">
        <v>589</v>
      </c>
      <c r="U577" t="s">
        <v>471</v>
      </c>
      <c r="Z577" s="1375" t="str">
        <f>C557</f>
        <v>Seller Land Note</v>
      </c>
      <c r="AA577" s="1375"/>
      <c r="AB577" s="1375"/>
      <c r="AC577" s="1375"/>
      <c r="AD577" s="1375"/>
      <c r="AE577" s="1375"/>
      <c r="AF577" s="1375"/>
      <c r="AG577" s="1375"/>
      <c r="AH577" s="1375"/>
      <c r="AI577" s="1375"/>
      <c r="AJ577" s="1375"/>
      <c r="AK577" s="137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85</v>
      </c>
      <c r="G578" s="1364" t="s">
        <v>2754</v>
      </c>
      <c r="H578" s="1364"/>
      <c r="I578" s="1364"/>
      <c r="J578" s="1364"/>
      <c r="K578" s="1364"/>
      <c r="L578" s="1364"/>
      <c r="M578" s="1364"/>
      <c r="N578" s="1364"/>
      <c r="O578" s="1364"/>
      <c r="P578" s="1364"/>
      <c r="Q578" s="1364"/>
      <c r="R578" s="1364"/>
      <c r="T578" s="22"/>
      <c r="U578" t="s">
        <v>85</v>
      </c>
      <c r="Z578" s="1364" t="s">
        <v>2679</v>
      </c>
      <c r="AA578" s="1364"/>
      <c r="AB578" s="1364"/>
      <c r="AC578" s="1364"/>
      <c r="AD578" s="1364"/>
      <c r="AE578" s="1364"/>
      <c r="AF578" s="1364"/>
      <c r="AG578" s="1364"/>
      <c r="AH578" s="1364"/>
      <c r="AI578" s="1364"/>
      <c r="AJ578" s="1364"/>
      <c r="AK578" s="136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588</v>
      </c>
      <c r="G579" s="1376" t="s">
        <v>2636</v>
      </c>
      <c r="H579" s="1376"/>
      <c r="I579" s="1376"/>
      <c r="J579" s="1376"/>
      <c r="K579" s="1376"/>
      <c r="L579" s="1376"/>
      <c r="M579" s="1376"/>
      <c r="N579" s="1376"/>
      <c r="O579" s="1376"/>
      <c r="P579" s="1376"/>
      <c r="Q579" s="1376"/>
      <c r="R579" s="1376"/>
      <c r="T579" s="22"/>
      <c r="U579" t="s">
        <v>588</v>
      </c>
      <c r="Z579" s="1376" t="s">
        <v>2680</v>
      </c>
      <c r="AA579" s="1376"/>
      <c r="AB579" s="1376"/>
      <c r="AC579" s="1376"/>
      <c r="AD579" s="1376"/>
      <c r="AE579" s="1376"/>
      <c r="AF579" s="1376"/>
      <c r="AG579" s="1376"/>
      <c r="AH579" s="1376"/>
      <c r="AI579" s="1376"/>
      <c r="AJ579" s="1376"/>
      <c r="AK579" s="137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B580" t="s">
        <v>17</v>
      </c>
      <c r="G580" s="1376" t="s">
        <v>2661</v>
      </c>
      <c r="H580" s="1376"/>
      <c r="I580" s="1376"/>
      <c r="J580" s="1376"/>
      <c r="K580" s="1376"/>
      <c r="L580" s="1376"/>
      <c r="M580" s="1376"/>
      <c r="N580" s="1376"/>
      <c r="O580" s="1376"/>
      <c r="P580" s="1376"/>
      <c r="Q580" s="1376"/>
      <c r="R580" s="1376"/>
      <c r="T580" s="22"/>
      <c r="U580" t="s">
        <v>17</v>
      </c>
      <c r="Z580" s="1376" t="s">
        <v>2667</v>
      </c>
      <c r="AA580" s="1376"/>
      <c r="AB580" s="1376"/>
      <c r="AC580" s="1376"/>
      <c r="AD580" s="1376"/>
      <c r="AE580" s="1376"/>
      <c r="AF580" s="1376"/>
      <c r="AG580" s="1376"/>
      <c r="AH580" s="1376"/>
      <c r="AI580" s="1376"/>
      <c r="AJ580" s="1376"/>
      <c r="AK580" s="137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2"/>
      <c r="B581" t="s">
        <v>317</v>
      </c>
      <c r="G581" s="1396" t="s">
        <v>2755</v>
      </c>
      <c r="H581" s="1396"/>
      <c r="I581" s="1396"/>
      <c r="J581" s="1396"/>
      <c r="K581" s="1396"/>
      <c r="L581" s="1396"/>
      <c r="O581" s="33" t="s">
        <v>207</v>
      </c>
      <c r="P581" s="1377"/>
      <c r="Q581" s="1377"/>
      <c r="R581" s="1377"/>
      <c r="T581" s="22"/>
      <c r="U581" t="s">
        <v>317</v>
      </c>
      <c r="Z581" s="1396" t="s">
        <v>2668</v>
      </c>
      <c r="AA581" s="1396"/>
      <c r="AB581" s="1396"/>
      <c r="AC581" s="1396"/>
      <c r="AD581" s="1396"/>
      <c r="AE581" s="1396"/>
      <c r="AH581" s="33" t="s">
        <v>207</v>
      </c>
      <c r="AI581" s="1377"/>
      <c r="AJ581" s="1377"/>
      <c r="AK581" s="137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18</v>
      </c>
      <c r="H582" s="1364" t="s">
        <v>2756</v>
      </c>
      <c r="I582" s="1364"/>
      <c r="J582" s="1364"/>
      <c r="K582" s="1364"/>
      <c r="L582" s="1364"/>
      <c r="M582" s="1364"/>
      <c r="N582" s="1364"/>
      <c r="O582" s="1364"/>
      <c r="P582" s="1364"/>
      <c r="Q582" s="1364"/>
      <c r="R582" s="1364"/>
      <c r="T582" s="22"/>
      <c r="U582" t="s">
        <v>18</v>
      </c>
      <c r="AA582" s="1364" t="s">
        <v>2756</v>
      </c>
      <c r="AB582" s="1364"/>
      <c r="AC582" s="1364"/>
      <c r="AD582" s="1364"/>
      <c r="AE582" s="1364"/>
      <c r="AF582" s="1364"/>
      <c r="AG582" s="1364"/>
      <c r="AH582" s="1364"/>
      <c r="AI582" s="1364"/>
      <c r="AJ582" s="1364"/>
      <c r="AK582" s="136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20</v>
      </c>
      <c r="N583" s="1374" t="s">
        <v>553</v>
      </c>
      <c r="O583" s="1374"/>
      <c r="T583" s="22"/>
      <c r="U583" t="s">
        <v>20</v>
      </c>
      <c r="AG583" s="1374" t="s">
        <v>553</v>
      </c>
      <c r="AH583" s="137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55" t="s">
        <v>772</v>
      </c>
      <c r="B585" t="s">
        <v>471</v>
      </c>
      <c r="G585" s="1375" t="str">
        <f>C558</f>
        <v>Tax Credit Equity</v>
      </c>
      <c r="H585" s="1375"/>
      <c r="I585" s="1375"/>
      <c r="J585" s="1375"/>
      <c r="K585" s="1375"/>
      <c r="L585" s="1375"/>
      <c r="M585" s="1375"/>
      <c r="N585" s="1375"/>
      <c r="O585" s="1375"/>
      <c r="P585" s="1375"/>
      <c r="Q585" s="1375"/>
      <c r="R585" s="1375"/>
      <c r="T585" s="55" t="s">
        <v>592</v>
      </c>
      <c r="U585" t="s">
        <v>471</v>
      </c>
      <c r="Z585" s="1375" t="str">
        <f>C559</f>
        <v>Deferred Fees and Costs</v>
      </c>
      <c r="AA585" s="1375"/>
      <c r="AB585" s="1375"/>
      <c r="AC585" s="1375"/>
      <c r="AD585" s="1375"/>
      <c r="AE585" s="1375"/>
      <c r="AF585" s="1375"/>
      <c r="AG585" s="1375"/>
      <c r="AH585" s="1375"/>
      <c r="AI585" s="1375"/>
      <c r="AJ585" s="1375"/>
      <c r="AK585" s="137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85</v>
      </c>
      <c r="G586" s="1364" t="s">
        <v>2757</v>
      </c>
      <c r="H586" s="1364"/>
      <c r="I586" s="1364"/>
      <c r="J586" s="1364"/>
      <c r="K586" s="1364"/>
      <c r="L586" s="1364"/>
      <c r="M586" s="1364"/>
      <c r="N586" s="1364"/>
      <c r="O586" s="1364"/>
      <c r="P586" s="1364"/>
      <c r="Q586" s="1364"/>
      <c r="R586" s="1364"/>
      <c r="T586" s="22"/>
      <c r="U586" t="s">
        <v>85</v>
      </c>
      <c r="Z586" s="1364" t="s">
        <v>2679</v>
      </c>
      <c r="AA586" s="1364"/>
      <c r="AB586" s="1364"/>
      <c r="AC586" s="1364"/>
      <c r="AD586" s="1364"/>
      <c r="AE586" s="1364"/>
      <c r="AF586" s="1364"/>
      <c r="AG586" s="1364"/>
      <c r="AH586" s="1364"/>
      <c r="AI586" s="1364"/>
      <c r="AJ586" s="1364"/>
      <c r="AK586" s="136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588</v>
      </c>
      <c r="G587" s="1364" t="s">
        <v>2758</v>
      </c>
      <c r="H587" s="1364"/>
      <c r="I587" s="1364"/>
      <c r="J587" s="1364"/>
      <c r="K587" s="1364"/>
      <c r="L587" s="1364"/>
      <c r="M587" s="1364"/>
      <c r="N587" s="1364"/>
      <c r="O587" s="1364"/>
      <c r="P587" s="1364"/>
      <c r="Q587" s="1364"/>
      <c r="R587" s="1364"/>
      <c r="T587" s="22"/>
      <c r="U587" t="s">
        <v>588</v>
      </c>
      <c r="Z587" s="1376" t="s">
        <v>2680</v>
      </c>
      <c r="AA587" s="1376"/>
      <c r="AB587" s="1376"/>
      <c r="AC587" s="1376"/>
      <c r="AD587" s="1376"/>
      <c r="AE587" s="1376"/>
      <c r="AF587" s="1376"/>
      <c r="AG587" s="1376"/>
      <c r="AH587" s="1376"/>
      <c r="AI587" s="1376"/>
      <c r="AJ587" s="1376"/>
      <c r="AK587" s="137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2"/>
      <c r="B588" t="s">
        <v>17</v>
      </c>
      <c r="G588" s="1364" t="s">
        <v>2708</v>
      </c>
      <c r="H588" s="1364"/>
      <c r="I588" s="1364"/>
      <c r="J588" s="1364"/>
      <c r="K588" s="1364"/>
      <c r="L588" s="1364"/>
      <c r="M588" s="1364"/>
      <c r="N588" s="1364"/>
      <c r="O588" s="1364"/>
      <c r="P588" s="1364"/>
      <c r="Q588" s="1364"/>
      <c r="R588" s="1364"/>
      <c r="T588" s="22"/>
      <c r="U588" t="s">
        <v>17</v>
      </c>
      <c r="Z588" s="1376" t="s">
        <v>2667</v>
      </c>
      <c r="AA588" s="1376"/>
      <c r="AB588" s="1376"/>
      <c r="AC588" s="1376"/>
      <c r="AD588" s="1376"/>
      <c r="AE588" s="1376"/>
      <c r="AF588" s="1376"/>
      <c r="AG588" s="1376"/>
      <c r="AH588" s="1376"/>
      <c r="AI588" s="1376"/>
      <c r="AJ588" s="1376"/>
      <c r="AK588" s="1376"/>
    </row>
    <row r="589" spans="1:110" ht="12.9" customHeight="1">
      <c r="A589" s="22"/>
      <c r="B589" t="s">
        <v>317</v>
      </c>
      <c r="G589" s="1396" t="s">
        <v>2759</v>
      </c>
      <c r="H589" s="1396"/>
      <c r="I589" s="1396"/>
      <c r="J589" s="1396"/>
      <c r="K589" s="1396"/>
      <c r="L589" s="1396"/>
      <c r="O589" s="33" t="s">
        <v>207</v>
      </c>
      <c r="P589" s="1377"/>
      <c r="Q589" s="1377"/>
      <c r="R589" s="1377"/>
      <c r="T589" s="22"/>
      <c r="U589" t="s">
        <v>317</v>
      </c>
      <c r="Z589" s="1446" t="s">
        <v>2668</v>
      </c>
      <c r="AA589" s="1446"/>
      <c r="AB589" s="1446"/>
      <c r="AC589" s="1446"/>
      <c r="AD589" s="1446"/>
      <c r="AE589" s="1446"/>
      <c r="AH589" s="33" t="s">
        <v>207</v>
      </c>
      <c r="AI589" s="1377"/>
      <c r="AJ589" s="1377"/>
      <c r="AK589" s="137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18</v>
      </c>
      <c r="H590" s="1364" t="s">
        <v>2760</v>
      </c>
      <c r="I590" s="1364"/>
      <c r="J590" s="1364"/>
      <c r="K590" s="1364"/>
      <c r="L590" s="1364"/>
      <c r="M590" s="1364"/>
      <c r="N590" s="1364"/>
      <c r="O590" s="1364"/>
      <c r="P590" s="1364"/>
      <c r="Q590" s="1364"/>
      <c r="R590" s="1364"/>
      <c r="T590" s="22"/>
      <c r="U590" t="s">
        <v>18</v>
      </c>
      <c r="AA590" s="1364"/>
      <c r="AB590" s="1364"/>
      <c r="AC590" s="1364"/>
      <c r="AD590" s="1364"/>
      <c r="AE590" s="1364"/>
      <c r="AF590" s="1364"/>
      <c r="AG590" s="1364"/>
      <c r="AH590" s="1364"/>
      <c r="AI590" s="1364"/>
      <c r="AJ590" s="1364"/>
      <c r="AK590" s="136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20</v>
      </c>
      <c r="N591" s="1374" t="s">
        <v>553</v>
      </c>
      <c r="O591" s="1374"/>
      <c r="T591" s="22"/>
      <c r="U591" t="s">
        <v>20</v>
      </c>
      <c r="AG591" s="1374" t="s">
        <v>553</v>
      </c>
      <c r="AH591" s="137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55" t="s">
        <v>463</v>
      </c>
      <c r="B593" t="s">
        <v>471</v>
      </c>
      <c r="G593" s="1375">
        <f>C560</f>
        <v>0</v>
      </c>
      <c r="H593" s="1375"/>
      <c r="I593" s="1375"/>
      <c r="J593" s="1375"/>
      <c r="K593" s="1375"/>
      <c r="L593" s="1375"/>
      <c r="M593" s="1375"/>
      <c r="N593" s="1375"/>
      <c r="O593" s="1375"/>
      <c r="P593" s="1375"/>
      <c r="Q593" s="1375"/>
      <c r="R593" s="1375"/>
      <c r="T593" s="55" t="s">
        <v>464</v>
      </c>
      <c r="U593" t="s">
        <v>471</v>
      </c>
      <c r="Z593" s="1375">
        <f>C561</f>
        <v>0</v>
      </c>
      <c r="AA593" s="1375"/>
      <c r="AB593" s="1375"/>
      <c r="AC593" s="1375"/>
      <c r="AD593" s="1375"/>
      <c r="AE593" s="1375"/>
      <c r="AF593" s="1375"/>
      <c r="AG593" s="1375"/>
      <c r="AH593" s="1375"/>
      <c r="AI593" s="1375"/>
      <c r="AJ593" s="1375"/>
      <c r="AK593" s="137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85</v>
      </c>
      <c r="C594"/>
      <c r="D594"/>
      <c r="E594"/>
      <c r="F594"/>
      <c r="G594" s="1364"/>
      <c r="H594" s="1364"/>
      <c r="I594" s="1364"/>
      <c r="J594" s="1364"/>
      <c r="K594" s="1364"/>
      <c r="L594" s="1364"/>
      <c r="M594" s="1364"/>
      <c r="N594" s="1364"/>
      <c r="O594" s="1364"/>
      <c r="P594" s="1364"/>
      <c r="Q594" s="1364"/>
      <c r="R594" s="1364"/>
      <c r="S594"/>
      <c r="T594" s="22"/>
      <c r="U594" t="s">
        <v>85</v>
      </c>
      <c r="V594"/>
      <c r="W594"/>
      <c r="X594"/>
      <c r="Y594"/>
      <c r="Z594" s="1364"/>
      <c r="AA594" s="1364"/>
      <c r="AB594" s="1364"/>
      <c r="AC594" s="1364"/>
      <c r="AD594" s="1364"/>
      <c r="AE594" s="1364"/>
      <c r="AF594" s="1364"/>
      <c r="AG594" s="1364"/>
      <c r="AH594" s="1364"/>
      <c r="AI594" s="1364"/>
      <c r="AJ594" s="1364"/>
      <c r="AK594" s="136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 customHeight="1">
      <c r="A595" s="22"/>
      <c r="B595" t="s">
        <v>588</v>
      </c>
      <c r="C595"/>
      <c r="D595"/>
      <c r="E595"/>
      <c r="F595"/>
      <c r="G595" s="1364"/>
      <c r="H595" s="1364"/>
      <c r="I595" s="1364"/>
      <c r="J595" s="1364"/>
      <c r="K595" s="1364"/>
      <c r="L595" s="1364"/>
      <c r="M595" s="1364"/>
      <c r="N595" s="1364"/>
      <c r="O595" s="1364"/>
      <c r="P595" s="1364"/>
      <c r="Q595" s="1364"/>
      <c r="R595" s="1364"/>
      <c r="S595"/>
      <c r="T595" s="22"/>
      <c r="U595" t="s">
        <v>588</v>
      </c>
      <c r="V595"/>
      <c r="W595"/>
      <c r="X595"/>
      <c r="Y595"/>
      <c r="Z595" s="1376"/>
      <c r="AA595" s="1376"/>
      <c r="AB595" s="1376"/>
      <c r="AC595" s="1376"/>
      <c r="AD595" s="1376"/>
      <c r="AE595" s="1376"/>
      <c r="AF595" s="1376"/>
      <c r="AG595" s="1376"/>
      <c r="AH595" s="1376"/>
      <c r="AI595" s="1376"/>
      <c r="AJ595" s="1376"/>
      <c r="AK595" s="137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2"/>
      <c r="B596" t="s">
        <v>17</v>
      </c>
      <c r="C596"/>
      <c r="D596"/>
      <c r="E596"/>
      <c r="F596"/>
      <c r="G596" s="1364"/>
      <c r="H596" s="1364"/>
      <c r="I596" s="1364"/>
      <c r="J596" s="1364"/>
      <c r="K596" s="1364"/>
      <c r="L596" s="1364"/>
      <c r="M596" s="1364"/>
      <c r="N596" s="1364"/>
      <c r="O596" s="1364"/>
      <c r="P596" s="1364"/>
      <c r="Q596" s="1364"/>
      <c r="R596" s="1364"/>
      <c r="S596"/>
      <c r="T596" s="22"/>
      <c r="U596" t="s">
        <v>17</v>
      </c>
      <c r="V596"/>
      <c r="W596"/>
      <c r="X596"/>
      <c r="Y596"/>
      <c r="Z596" s="1376"/>
      <c r="AA596" s="1376"/>
      <c r="AB596" s="1376"/>
      <c r="AC596" s="1376"/>
      <c r="AD596" s="1376"/>
      <c r="AE596" s="1376"/>
      <c r="AF596" s="1376"/>
      <c r="AG596" s="1376"/>
      <c r="AH596" s="1376"/>
      <c r="AI596" s="1376"/>
      <c r="AJ596" s="1376"/>
      <c r="AK596" s="1376"/>
      <c r="AL596"/>
      <c r="AM596"/>
      <c r="AN596"/>
      <c r="AO596"/>
      <c r="AP596"/>
      <c r="AQ596"/>
      <c r="AR596"/>
      <c r="AS596"/>
      <c r="AT596"/>
      <c r="AU596"/>
      <c r="AV596"/>
      <c r="AW596"/>
      <c r="AX596"/>
      <c r="AY596"/>
      <c r="BA596" s="4" t="s">
        <v>325</v>
      </c>
      <c r="BB596" s="3"/>
      <c r="BC596" s="3"/>
      <c r="BD596" s="3"/>
      <c r="BE596" s="121" t="s">
        <v>482</v>
      </c>
      <c r="BF596" s="122"/>
      <c r="BG596" s="1404"/>
      <c r="BH596" s="1405"/>
      <c r="BI596" s="121" t="s">
        <v>483</v>
      </c>
      <c r="BJ596" s="122"/>
      <c r="BK596" s="1404"/>
      <c r="BL596" s="1405"/>
      <c r="BM596" s="3"/>
      <c r="BN596" s="1507" t="s">
        <v>641</v>
      </c>
      <c r="BO596" s="1508"/>
      <c r="BP596" s="1508"/>
      <c r="BQ596" s="1508"/>
      <c r="BR596" s="1509"/>
      <c r="BS596" s="1504" t="s">
        <v>326</v>
      </c>
      <c r="BT596" s="1504"/>
      <c r="BU596" s="1504"/>
      <c r="BV596" s="1504"/>
      <c r="BW596" s="1504"/>
      <c r="BX596" s="1504" t="s">
        <v>163</v>
      </c>
      <c r="BY596" s="1504"/>
      <c r="BZ596" s="1504"/>
      <c r="CA596" s="1504"/>
      <c r="CB596" s="1504"/>
      <c r="CC596" s="1504" t="s">
        <v>164</v>
      </c>
      <c r="CD596" s="1504"/>
      <c r="CE596" s="1504"/>
      <c r="CF596" s="1504"/>
      <c r="CG596" s="1504"/>
      <c r="CH596" s="1504" t="s">
        <v>468</v>
      </c>
      <c r="CI596" s="1504"/>
      <c r="CJ596" s="1504"/>
      <c r="CK596" s="1504"/>
      <c r="CL596" s="1504"/>
      <c r="CM596" s="1504" t="s">
        <v>30</v>
      </c>
      <c r="CN596" s="1504"/>
      <c r="CO596" s="1504"/>
      <c r="CP596" s="1504"/>
      <c r="CQ596" s="1504"/>
      <c r="CR596" s="89"/>
      <c r="CS596" s="1504" t="s">
        <v>641</v>
      </c>
      <c r="CT596" s="1504"/>
      <c r="CU596" s="1504"/>
      <c r="CV596" s="1504"/>
      <c r="CW596" s="1504"/>
      <c r="CX596" s="1504" t="s">
        <v>326</v>
      </c>
      <c r="CY596" s="1504"/>
      <c r="CZ596" s="1504"/>
      <c r="DA596" s="1504"/>
      <c r="DB596" s="1504"/>
      <c r="DC596" s="1504" t="s">
        <v>163</v>
      </c>
      <c r="DD596" s="1504"/>
      <c r="DE596" s="1504"/>
      <c r="DF596" s="1504"/>
      <c r="DG596" s="1504"/>
      <c r="DH596" s="1504" t="s">
        <v>164</v>
      </c>
      <c r="DI596" s="1504"/>
      <c r="DJ596" s="1504"/>
      <c r="DK596" s="1504"/>
      <c r="DL596" s="1504"/>
      <c r="DM596" s="1504" t="s">
        <v>468</v>
      </c>
      <c r="DN596" s="1504"/>
      <c r="DO596" s="1504"/>
      <c r="DP596" s="1504"/>
      <c r="DQ596" s="1504"/>
      <c r="DR596" s="1504" t="s">
        <v>30</v>
      </c>
      <c r="DS596" s="1504"/>
      <c r="DT596" s="1504"/>
      <c r="DU596" s="1504"/>
      <c r="DV596" s="1504"/>
      <c r="DX596" s="1504" t="s">
        <v>641</v>
      </c>
      <c r="DY596" s="1504"/>
      <c r="DZ596" s="1504"/>
      <c r="EA596" s="1504"/>
      <c r="EB596" s="1504"/>
      <c r="EC596" s="1504" t="s">
        <v>326</v>
      </c>
      <c r="ED596" s="1504"/>
      <c r="EE596" s="1504"/>
      <c r="EF596" s="1504"/>
      <c r="EG596" s="1504"/>
      <c r="EH596" s="1504" t="s">
        <v>163</v>
      </c>
      <c r="EI596" s="1504"/>
      <c r="EJ596" s="1504"/>
      <c r="EK596" s="1504"/>
      <c r="EL596" s="1504"/>
      <c r="EM596" s="1504" t="s">
        <v>164</v>
      </c>
      <c r="EN596" s="1504"/>
      <c r="EO596" s="1504"/>
      <c r="EP596" s="1504"/>
      <c r="EQ596" s="1504"/>
      <c r="ER596" s="1504" t="s">
        <v>468</v>
      </c>
      <c r="ES596" s="1504"/>
      <c r="ET596" s="1504"/>
      <c r="EU596" s="1504"/>
      <c r="EV596" s="1504"/>
      <c r="EW596" s="1504" t="s">
        <v>30</v>
      </c>
      <c r="EX596" s="1504"/>
      <c r="EY596" s="1504"/>
      <c r="EZ596" s="1504"/>
      <c r="FA596" s="1504"/>
    </row>
    <row r="597" spans="1:157" s="4" customFormat="1" ht="12.9" customHeight="1">
      <c r="A597" s="22"/>
      <c r="B597" t="s">
        <v>317</v>
      </c>
      <c r="C597"/>
      <c r="D597"/>
      <c r="E597"/>
      <c r="F597"/>
      <c r="G597" s="1396"/>
      <c r="H597" s="1396"/>
      <c r="I597" s="1396"/>
      <c r="J597" s="1396"/>
      <c r="K597" s="1396"/>
      <c r="L597" s="1396"/>
      <c r="M597"/>
      <c r="N597"/>
      <c r="O597" s="33" t="s">
        <v>207</v>
      </c>
      <c r="P597" s="1377"/>
      <c r="Q597" s="1377"/>
      <c r="R597" s="1377"/>
      <c r="S597"/>
      <c r="T597" s="22"/>
      <c r="U597" t="s">
        <v>317</v>
      </c>
      <c r="V597"/>
      <c r="W597"/>
      <c r="X597"/>
      <c r="Y597"/>
      <c r="Z597" s="1396"/>
      <c r="AA597" s="1396"/>
      <c r="AB597" s="1396"/>
      <c r="AC597" s="1396"/>
      <c r="AD597" s="1396"/>
      <c r="AE597" s="1396"/>
      <c r="AF597"/>
      <c r="AG597"/>
      <c r="AH597" s="33" t="s">
        <v>207</v>
      </c>
      <c r="AI597" s="1377"/>
      <c r="AJ597" s="1377"/>
      <c r="AK597" s="1377"/>
      <c r="AL597"/>
      <c r="AM597"/>
      <c r="AN597"/>
      <c r="AO597"/>
      <c r="AP597"/>
      <c r="AQ597"/>
      <c r="AR597"/>
      <c r="AS597"/>
      <c r="AT597"/>
      <c r="AU597"/>
      <c r="AV597"/>
      <c r="AW597"/>
      <c r="AX597"/>
      <c r="AY597"/>
      <c r="BA597" s="4" t="s">
        <v>326</v>
      </c>
      <c r="BB597" s="3"/>
      <c r="BC597" s="3"/>
      <c r="BD597" s="3"/>
      <c r="BE597" s="1361">
        <f t="shared" ref="BE597:BE631" si="1">IF(AND(AC718&lt;=0.5,AC718&gt;=0.36),1,0)</f>
        <v>0</v>
      </c>
      <c r="BF597" s="1363"/>
      <c r="BG597" s="1404">
        <f t="shared" ref="BG597:BG631" si="2">IF(BE597=1,G718,0)</f>
        <v>0</v>
      </c>
      <c r="BH597" s="1405"/>
      <c r="BI597" s="1361">
        <f t="shared" ref="BI597:BI631" si="3">IF(AND(AC718&lt;=0.35,AC718&gt;0),1,0)</f>
        <v>1</v>
      </c>
      <c r="BJ597" s="1363"/>
      <c r="BK597" s="1404">
        <f t="shared" ref="BK597:BK631" si="4">IF(BI597=1,G718,0)</f>
        <v>2</v>
      </c>
      <c r="BL597" s="1405"/>
      <c r="BM597" s="3"/>
      <c r="BN597" s="1401">
        <f t="shared" ref="BN597:BN631" si="5">IF(B718="SRO/Studio",G718,0)</f>
        <v>0</v>
      </c>
      <c r="BO597" s="1402"/>
      <c r="BP597" s="1402"/>
      <c r="BQ597" s="1402"/>
      <c r="BR597" s="1403"/>
      <c r="BS597" s="1406">
        <f t="shared" ref="BS597:BS631" si="6">IF(B718="1 Bedroom",G718,0)</f>
        <v>2</v>
      </c>
      <c r="BT597" s="1406"/>
      <c r="BU597" s="1406"/>
      <c r="BV597" s="1406"/>
      <c r="BW597" s="1406"/>
      <c r="BX597" s="1406">
        <f t="shared" ref="BX597:BX631" si="7">IF(B718="2 Bedrooms",G718,0)</f>
        <v>0</v>
      </c>
      <c r="BY597" s="1406"/>
      <c r="BZ597" s="1406"/>
      <c r="CA597" s="1406"/>
      <c r="CB597" s="1406"/>
      <c r="CC597" s="1406">
        <f t="shared" ref="CC597:CC631" si="8">IF(B718="3 Bedrooms",G718,0)</f>
        <v>0</v>
      </c>
      <c r="CD597" s="1406"/>
      <c r="CE597" s="1406"/>
      <c r="CF597" s="1406"/>
      <c r="CG597" s="1406"/>
      <c r="CH597" s="1406">
        <f t="shared" ref="CH597:CH631" si="9">IF(B718="4 Bedrooms",G718,0)</f>
        <v>0</v>
      </c>
      <c r="CI597" s="1406"/>
      <c r="CJ597" s="1406"/>
      <c r="CK597" s="1406"/>
      <c r="CL597" s="1406"/>
      <c r="CM597" s="1406">
        <f t="shared" ref="CM597:CM631" si="10">IF(B718="5 Bedrooms",G718,0)</f>
        <v>0</v>
      </c>
      <c r="CN597" s="1406"/>
      <c r="CO597" s="1406"/>
      <c r="CP597" s="1406"/>
      <c r="CQ597" s="1406"/>
      <c r="CR597" s="6"/>
      <c r="CS597" s="1400">
        <f t="shared" ref="CS597:CS631" si="11">IF(AND(B718="SRO/Studio",AC718&lt;=0.3),G718,0)</f>
        <v>0</v>
      </c>
      <c r="CT597" s="1400"/>
      <c r="CU597" s="1400"/>
      <c r="CV597" s="1400"/>
      <c r="CW597" s="1400"/>
      <c r="CX597" s="1400">
        <f t="shared" ref="CX597:CX631" si="12">IF(AND(B718="1 Bedroom",AC718&lt;=0.3),G718,0)</f>
        <v>2</v>
      </c>
      <c r="CY597" s="1400"/>
      <c r="CZ597" s="1400"/>
      <c r="DA597" s="1400"/>
      <c r="DB597" s="1400"/>
      <c r="DC597" s="1400">
        <f t="shared" ref="DC597:DC631" si="13">IF(AND(B718="2 Bedrooms",AC718&lt;=0.3),G718,0)</f>
        <v>0</v>
      </c>
      <c r="DD597" s="1400"/>
      <c r="DE597" s="1400"/>
      <c r="DF597" s="1400"/>
      <c r="DG597" s="1400"/>
      <c r="DH597" s="1400">
        <f t="shared" ref="DH597:DH631" si="14">IF(AND(B718="3 Bedrooms",AC718&lt;=0.3),G718,0)</f>
        <v>0</v>
      </c>
      <c r="DI597" s="1400"/>
      <c r="DJ597" s="1400"/>
      <c r="DK597" s="1400"/>
      <c r="DL597" s="1400"/>
      <c r="DM597" s="1400">
        <f t="shared" ref="DM597:DM631" si="15">IF(AND(B718="4 Bedrooms",AC718&lt;=0.3),G718,0)</f>
        <v>0</v>
      </c>
      <c r="DN597" s="1400"/>
      <c r="DO597" s="1400"/>
      <c r="DP597" s="1400"/>
      <c r="DQ597" s="1400"/>
      <c r="DR597" s="1400">
        <f t="shared" ref="DR597:DR631" si="16">IF(AND(B718="5 Bedrooms",AC718&lt;=0.3),G718,0)</f>
        <v>0</v>
      </c>
      <c r="DS597" s="1400"/>
      <c r="DT597" s="1400"/>
      <c r="DU597" s="1400"/>
      <c r="DV597" s="1400"/>
      <c r="DX597" s="1361" t="str">
        <f t="shared" ref="DX597:DX631" si="17">IF(BN597&gt;0,O718,"")</f>
        <v/>
      </c>
      <c r="DY597" s="1362"/>
      <c r="DZ597" s="1362"/>
      <c r="EA597" s="1362"/>
      <c r="EB597" s="1363"/>
      <c r="EC597" s="1361">
        <f t="shared" ref="EC597:EC631" si="18">IF(BS597&gt;0,O718,"")</f>
        <v>678</v>
      </c>
      <c r="ED597" s="1362"/>
      <c r="EE597" s="1362"/>
      <c r="EF597" s="1362"/>
      <c r="EG597" s="1363"/>
      <c r="EH597" s="1361" t="str">
        <f t="shared" ref="EH597:EH631" si="19">IF(BX597&gt;0,O718,"")</f>
        <v/>
      </c>
      <c r="EI597" s="1362"/>
      <c r="EJ597" s="1362"/>
      <c r="EK597" s="1362"/>
      <c r="EL597" s="1363"/>
      <c r="EM597" s="1361" t="str">
        <f t="shared" ref="EM597:EM631" si="20">IF(CC597&gt;0,O718,"")</f>
        <v/>
      </c>
      <c r="EN597" s="1362"/>
      <c r="EO597" s="1362"/>
      <c r="EP597" s="1362"/>
      <c r="EQ597" s="1363"/>
      <c r="ER597" s="1361" t="str">
        <f t="shared" ref="ER597:ER631" si="21">IF(CH597&gt;0,O718,"")</f>
        <v/>
      </c>
      <c r="ES597" s="1362"/>
      <c r="ET597" s="1362"/>
      <c r="EU597" s="1362"/>
      <c r="EV597" s="1363"/>
      <c r="EW597" s="1361" t="str">
        <f t="shared" ref="EW597:EW631" si="22">IF(CM597&gt;0,O718,"")</f>
        <v/>
      </c>
      <c r="EX597" s="1362"/>
      <c r="EY597" s="1362"/>
      <c r="EZ597" s="1362"/>
      <c r="FA597" s="1363"/>
    </row>
    <row r="598" spans="1:157" s="4" customFormat="1" ht="12.9" customHeight="1">
      <c r="A598" s="22"/>
      <c r="B598" t="s">
        <v>18</v>
      </c>
      <c r="C598"/>
      <c r="D598"/>
      <c r="E598"/>
      <c r="F598"/>
      <c r="G598"/>
      <c r="H598" s="1364"/>
      <c r="I598" s="1364"/>
      <c r="J598" s="1364"/>
      <c r="K598" s="1364"/>
      <c r="L598" s="1364"/>
      <c r="M598" s="1364"/>
      <c r="N598" s="1364"/>
      <c r="O598" s="1364"/>
      <c r="P598" s="1364"/>
      <c r="Q598" s="1364"/>
      <c r="R598" s="1364"/>
      <c r="S598"/>
      <c r="T598" s="22"/>
      <c r="U598" t="s">
        <v>18</v>
      </c>
      <c r="V598"/>
      <c r="W598"/>
      <c r="X598"/>
      <c r="Y598"/>
      <c r="Z598"/>
      <c r="AA598" s="1364"/>
      <c r="AB598" s="1364"/>
      <c r="AC598" s="1364"/>
      <c r="AD598" s="1364"/>
      <c r="AE598" s="1364"/>
      <c r="AF598" s="1364"/>
      <c r="AG598" s="1364"/>
      <c r="AH598" s="1364"/>
      <c r="AI598" s="1364"/>
      <c r="AJ598" s="1364"/>
      <c r="AK598" s="1364"/>
      <c r="AL598"/>
      <c r="AM598"/>
      <c r="AN598"/>
      <c r="AO598"/>
      <c r="AP598"/>
      <c r="AQ598"/>
      <c r="AR598"/>
      <c r="AS598"/>
      <c r="AT598"/>
      <c r="AU598"/>
      <c r="AV598"/>
      <c r="AW598"/>
      <c r="AX598"/>
      <c r="AY598"/>
      <c r="BA598" s="4" t="s">
        <v>163</v>
      </c>
      <c r="BB598" s="3"/>
      <c r="BC598" s="3"/>
      <c r="BD598" s="3"/>
      <c r="BE598" s="1361">
        <f t="shared" si="1"/>
        <v>0</v>
      </c>
      <c r="BF598" s="1363"/>
      <c r="BG598" s="1404">
        <f t="shared" si="2"/>
        <v>0</v>
      </c>
      <c r="BH598" s="1405"/>
      <c r="BI598" s="1361">
        <f t="shared" si="3"/>
        <v>1</v>
      </c>
      <c r="BJ598" s="1363"/>
      <c r="BK598" s="1404">
        <f t="shared" si="4"/>
        <v>4</v>
      </c>
      <c r="BL598" s="1405"/>
      <c r="BM598" s="3"/>
      <c r="BN598" s="1401">
        <f t="shared" si="5"/>
        <v>0</v>
      </c>
      <c r="BO598" s="1402"/>
      <c r="BP598" s="1402"/>
      <c r="BQ598" s="1402"/>
      <c r="BR598" s="1403"/>
      <c r="BS598" s="1406">
        <f t="shared" si="6"/>
        <v>4</v>
      </c>
      <c r="BT598" s="1406"/>
      <c r="BU598" s="1406"/>
      <c r="BV598" s="1406"/>
      <c r="BW598" s="1406"/>
      <c r="BX598" s="1406">
        <f t="shared" si="7"/>
        <v>0</v>
      </c>
      <c r="BY598" s="1406"/>
      <c r="BZ598" s="1406"/>
      <c r="CA598" s="1406"/>
      <c r="CB598" s="1406"/>
      <c r="CC598" s="1406">
        <f t="shared" si="8"/>
        <v>0</v>
      </c>
      <c r="CD598" s="1406"/>
      <c r="CE598" s="1406"/>
      <c r="CF598" s="1406"/>
      <c r="CG598" s="1406"/>
      <c r="CH598" s="1406">
        <f t="shared" si="9"/>
        <v>0</v>
      </c>
      <c r="CI598" s="1406"/>
      <c r="CJ598" s="1406"/>
      <c r="CK598" s="1406"/>
      <c r="CL598" s="1406"/>
      <c r="CM598" s="1406">
        <f t="shared" si="10"/>
        <v>0</v>
      </c>
      <c r="CN598" s="1406"/>
      <c r="CO598" s="1406"/>
      <c r="CP598" s="1406"/>
      <c r="CQ598" s="1406"/>
      <c r="CR598" s="6"/>
      <c r="CS598" s="1400">
        <f t="shared" si="11"/>
        <v>0</v>
      </c>
      <c r="CT598" s="1400"/>
      <c r="CU598" s="1400"/>
      <c r="CV598" s="1400"/>
      <c r="CW598" s="1400"/>
      <c r="CX598" s="1400">
        <f t="shared" si="12"/>
        <v>4</v>
      </c>
      <c r="CY598" s="1400"/>
      <c r="CZ598" s="1400"/>
      <c r="DA598" s="1400"/>
      <c r="DB598" s="1400"/>
      <c r="DC598" s="1400">
        <f t="shared" si="13"/>
        <v>0</v>
      </c>
      <c r="DD598" s="1400"/>
      <c r="DE598" s="1400"/>
      <c r="DF598" s="1400"/>
      <c r="DG598" s="1400"/>
      <c r="DH598" s="1400">
        <f t="shared" si="14"/>
        <v>0</v>
      </c>
      <c r="DI598" s="1400"/>
      <c r="DJ598" s="1400"/>
      <c r="DK598" s="1400"/>
      <c r="DL598" s="1400"/>
      <c r="DM598" s="1400">
        <f t="shared" si="15"/>
        <v>0</v>
      </c>
      <c r="DN598" s="1400"/>
      <c r="DO598" s="1400"/>
      <c r="DP598" s="1400"/>
      <c r="DQ598" s="1400"/>
      <c r="DR598" s="1400">
        <f t="shared" si="16"/>
        <v>0</v>
      </c>
      <c r="DS598" s="1400"/>
      <c r="DT598" s="1400"/>
      <c r="DU598" s="1400"/>
      <c r="DV598" s="1400"/>
      <c r="DX598" s="1361" t="str">
        <f t="shared" si="17"/>
        <v/>
      </c>
      <c r="DY598" s="1362"/>
      <c r="DZ598" s="1362"/>
      <c r="EA598" s="1362"/>
      <c r="EB598" s="1363"/>
      <c r="EC598" s="1361">
        <f t="shared" si="18"/>
        <v>678</v>
      </c>
      <c r="ED598" s="1362"/>
      <c r="EE598" s="1362"/>
      <c r="EF598" s="1362"/>
      <c r="EG598" s="1363"/>
      <c r="EH598" s="1361" t="str">
        <f t="shared" si="19"/>
        <v/>
      </c>
      <c r="EI598" s="1362"/>
      <c r="EJ598" s="1362"/>
      <c r="EK598" s="1362"/>
      <c r="EL598" s="1363"/>
      <c r="EM598" s="1361" t="str">
        <f t="shared" si="20"/>
        <v/>
      </c>
      <c r="EN598" s="1362"/>
      <c r="EO598" s="1362"/>
      <c r="EP598" s="1362"/>
      <c r="EQ598" s="1363"/>
      <c r="ER598" s="1361" t="str">
        <f t="shared" si="21"/>
        <v/>
      </c>
      <c r="ES598" s="1362"/>
      <c r="ET598" s="1362"/>
      <c r="EU598" s="1362"/>
      <c r="EV598" s="1363"/>
      <c r="EW598" s="1361" t="str">
        <f t="shared" si="22"/>
        <v/>
      </c>
      <c r="EX598" s="1362"/>
      <c r="EY598" s="1362"/>
      <c r="EZ598" s="1362"/>
      <c r="FA598" s="1363"/>
    </row>
    <row r="599" spans="1:157" ht="12.9" customHeight="1">
      <c r="A599" s="22"/>
      <c r="B599" t="s">
        <v>20</v>
      </c>
      <c r="N599" s="1374" t="s">
        <v>677</v>
      </c>
      <c r="O599" s="1374"/>
      <c r="T599" s="22"/>
      <c r="U599" t="s">
        <v>20</v>
      </c>
      <c r="AG599" s="1374" t="s">
        <v>677</v>
      </c>
      <c r="AH599" s="1374"/>
      <c r="BA599" s="4" t="s">
        <v>164</v>
      </c>
      <c r="BB599" s="3"/>
      <c r="BC599" s="3"/>
      <c r="BD599" s="3"/>
      <c r="BE599" s="1361">
        <f t="shared" si="1"/>
        <v>1</v>
      </c>
      <c r="BF599" s="1363"/>
      <c r="BG599" s="1404">
        <f t="shared" si="2"/>
        <v>6</v>
      </c>
      <c r="BH599" s="1405"/>
      <c r="BI599" s="1361">
        <f t="shared" si="3"/>
        <v>0</v>
      </c>
      <c r="BJ599" s="1363"/>
      <c r="BK599" s="1404">
        <f t="shared" si="4"/>
        <v>0</v>
      </c>
      <c r="BL599" s="1405"/>
      <c r="BM599" s="3"/>
      <c r="BN599" s="1401">
        <f t="shared" si="5"/>
        <v>0</v>
      </c>
      <c r="BO599" s="1402"/>
      <c r="BP599" s="1402"/>
      <c r="BQ599" s="1402"/>
      <c r="BR599" s="1403"/>
      <c r="BS599" s="1406">
        <f t="shared" si="6"/>
        <v>6</v>
      </c>
      <c r="BT599" s="1406"/>
      <c r="BU599" s="1406"/>
      <c r="BV599" s="1406"/>
      <c r="BW599" s="1406"/>
      <c r="BX599" s="1406">
        <f t="shared" si="7"/>
        <v>0</v>
      </c>
      <c r="BY599" s="1406"/>
      <c r="BZ599" s="1406"/>
      <c r="CA599" s="1406"/>
      <c r="CB599" s="1406"/>
      <c r="CC599" s="1406">
        <f t="shared" si="8"/>
        <v>0</v>
      </c>
      <c r="CD599" s="1406"/>
      <c r="CE599" s="1406"/>
      <c r="CF599" s="1406"/>
      <c r="CG599" s="1406"/>
      <c r="CH599" s="1406">
        <f t="shared" si="9"/>
        <v>0</v>
      </c>
      <c r="CI599" s="1406"/>
      <c r="CJ599" s="1406"/>
      <c r="CK599" s="1406"/>
      <c r="CL599" s="1406"/>
      <c r="CM599" s="1406">
        <f t="shared" si="10"/>
        <v>0</v>
      </c>
      <c r="CN599" s="1406"/>
      <c r="CO599" s="1406"/>
      <c r="CP599" s="1406"/>
      <c r="CQ599" s="1406"/>
      <c r="CR599" s="6"/>
      <c r="CS599" s="1400">
        <f t="shared" si="11"/>
        <v>0</v>
      </c>
      <c r="CT599" s="1400"/>
      <c r="CU599" s="1400"/>
      <c r="CV599" s="1400"/>
      <c r="CW599" s="1400"/>
      <c r="CX599" s="1400">
        <f t="shared" si="12"/>
        <v>0</v>
      </c>
      <c r="CY599" s="1400"/>
      <c r="CZ599" s="1400"/>
      <c r="DA599" s="1400"/>
      <c r="DB599" s="1400"/>
      <c r="DC599" s="1400">
        <f t="shared" si="13"/>
        <v>0</v>
      </c>
      <c r="DD599" s="1400"/>
      <c r="DE599" s="1400"/>
      <c r="DF599" s="1400"/>
      <c r="DG599" s="1400"/>
      <c r="DH599" s="1400">
        <f t="shared" si="14"/>
        <v>0</v>
      </c>
      <c r="DI599" s="1400"/>
      <c r="DJ599" s="1400"/>
      <c r="DK599" s="1400"/>
      <c r="DL599" s="1400"/>
      <c r="DM599" s="1400">
        <f t="shared" si="15"/>
        <v>0</v>
      </c>
      <c r="DN599" s="1400"/>
      <c r="DO599" s="1400"/>
      <c r="DP599" s="1400"/>
      <c r="DQ599" s="1400"/>
      <c r="DR599" s="1400">
        <f t="shared" si="16"/>
        <v>0</v>
      </c>
      <c r="DS599" s="1400"/>
      <c r="DT599" s="1400"/>
      <c r="DU599" s="1400"/>
      <c r="DV599" s="1400"/>
      <c r="DX599" s="1361" t="str">
        <f t="shared" si="17"/>
        <v/>
      </c>
      <c r="DY599" s="1362"/>
      <c r="DZ599" s="1362"/>
      <c r="EA599" s="1362"/>
      <c r="EB599" s="1363"/>
      <c r="EC599" s="1361">
        <f t="shared" si="18"/>
        <v>927</v>
      </c>
      <c r="ED599" s="1362"/>
      <c r="EE599" s="1362"/>
      <c r="EF599" s="1362"/>
      <c r="EG599" s="1363"/>
      <c r="EH599" s="1361" t="str">
        <f t="shared" si="19"/>
        <v/>
      </c>
      <c r="EI599" s="1362"/>
      <c r="EJ599" s="1362"/>
      <c r="EK599" s="1362"/>
      <c r="EL599" s="1363"/>
      <c r="EM599" s="1361" t="str">
        <f t="shared" si="20"/>
        <v/>
      </c>
      <c r="EN599" s="1362"/>
      <c r="EO599" s="1362"/>
      <c r="EP599" s="1362"/>
      <c r="EQ599" s="1363"/>
      <c r="ER599" s="1361" t="str">
        <f t="shared" si="21"/>
        <v/>
      </c>
      <c r="ES599" s="1362"/>
      <c r="ET599" s="1362"/>
      <c r="EU599" s="1362"/>
      <c r="EV599" s="1363"/>
      <c r="EW599" s="1361" t="str">
        <f t="shared" si="22"/>
        <v/>
      </c>
      <c r="EX599" s="1362"/>
      <c r="EY599" s="1362"/>
      <c r="EZ599" s="1362"/>
      <c r="FA599" s="1363"/>
    </row>
    <row r="600" spans="1:157" ht="12.9" customHeight="1">
      <c r="A600" s="22"/>
      <c r="T600" s="22"/>
      <c r="BA600" s="4" t="s">
        <v>165</v>
      </c>
      <c r="BB600" s="3"/>
      <c r="BC600" s="3"/>
      <c r="BD600" s="3"/>
      <c r="BE600" s="1361">
        <f t="shared" si="1"/>
        <v>1</v>
      </c>
      <c r="BF600" s="1363"/>
      <c r="BG600" s="1404">
        <f t="shared" si="2"/>
        <v>6</v>
      </c>
      <c r="BH600" s="1405"/>
      <c r="BI600" s="1361">
        <f t="shared" si="3"/>
        <v>0</v>
      </c>
      <c r="BJ600" s="1363"/>
      <c r="BK600" s="1404">
        <f t="shared" si="4"/>
        <v>0</v>
      </c>
      <c r="BL600" s="1405"/>
      <c r="BM600" s="3"/>
      <c r="BN600" s="1401">
        <f t="shared" si="5"/>
        <v>0</v>
      </c>
      <c r="BO600" s="1402"/>
      <c r="BP600" s="1402"/>
      <c r="BQ600" s="1402"/>
      <c r="BR600" s="1403"/>
      <c r="BS600" s="1406">
        <f t="shared" si="6"/>
        <v>6</v>
      </c>
      <c r="BT600" s="1406"/>
      <c r="BU600" s="1406"/>
      <c r="BV600" s="1406"/>
      <c r="BW600" s="1406"/>
      <c r="BX600" s="1406">
        <f t="shared" si="7"/>
        <v>0</v>
      </c>
      <c r="BY600" s="1406"/>
      <c r="BZ600" s="1406"/>
      <c r="CA600" s="1406"/>
      <c r="CB600" s="1406"/>
      <c r="CC600" s="1406">
        <f t="shared" si="8"/>
        <v>0</v>
      </c>
      <c r="CD600" s="1406"/>
      <c r="CE600" s="1406"/>
      <c r="CF600" s="1406"/>
      <c r="CG600" s="1406"/>
      <c r="CH600" s="1406">
        <f t="shared" si="9"/>
        <v>0</v>
      </c>
      <c r="CI600" s="1406"/>
      <c r="CJ600" s="1406"/>
      <c r="CK600" s="1406"/>
      <c r="CL600" s="1406"/>
      <c r="CM600" s="1406">
        <f t="shared" si="10"/>
        <v>0</v>
      </c>
      <c r="CN600" s="1406"/>
      <c r="CO600" s="1406"/>
      <c r="CP600" s="1406"/>
      <c r="CQ600" s="1406"/>
      <c r="CR600" s="6"/>
      <c r="CS600" s="1400">
        <f t="shared" si="11"/>
        <v>0</v>
      </c>
      <c r="CT600" s="1400"/>
      <c r="CU600" s="1400"/>
      <c r="CV600" s="1400"/>
      <c r="CW600" s="1400"/>
      <c r="CX600" s="1400">
        <f t="shared" si="12"/>
        <v>0</v>
      </c>
      <c r="CY600" s="1400"/>
      <c r="CZ600" s="1400"/>
      <c r="DA600" s="1400"/>
      <c r="DB600" s="1400"/>
      <c r="DC600" s="1400">
        <f t="shared" si="13"/>
        <v>0</v>
      </c>
      <c r="DD600" s="1400"/>
      <c r="DE600" s="1400"/>
      <c r="DF600" s="1400"/>
      <c r="DG600" s="1400"/>
      <c r="DH600" s="1400">
        <f t="shared" si="14"/>
        <v>0</v>
      </c>
      <c r="DI600" s="1400"/>
      <c r="DJ600" s="1400"/>
      <c r="DK600" s="1400"/>
      <c r="DL600" s="1400"/>
      <c r="DM600" s="1400">
        <f t="shared" si="15"/>
        <v>0</v>
      </c>
      <c r="DN600" s="1400"/>
      <c r="DO600" s="1400"/>
      <c r="DP600" s="1400"/>
      <c r="DQ600" s="1400"/>
      <c r="DR600" s="1400">
        <f t="shared" si="16"/>
        <v>0</v>
      </c>
      <c r="DS600" s="1400"/>
      <c r="DT600" s="1400"/>
      <c r="DU600" s="1400"/>
      <c r="DV600" s="1400"/>
      <c r="DX600" s="1361" t="str">
        <f t="shared" si="17"/>
        <v/>
      </c>
      <c r="DY600" s="1362"/>
      <c r="DZ600" s="1362"/>
      <c r="EA600" s="1362"/>
      <c r="EB600" s="1363"/>
      <c r="EC600" s="1361">
        <f t="shared" si="18"/>
        <v>1176</v>
      </c>
      <c r="ED600" s="1362"/>
      <c r="EE600" s="1362"/>
      <c r="EF600" s="1362"/>
      <c r="EG600" s="1363"/>
      <c r="EH600" s="1361" t="str">
        <f t="shared" si="19"/>
        <v/>
      </c>
      <c r="EI600" s="1362"/>
      <c r="EJ600" s="1362"/>
      <c r="EK600" s="1362"/>
      <c r="EL600" s="1363"/>
      <c r="EM600" s="1361" t="str">
        <f t="shared" si="20"/>
        <v/>
      </c>
      <c r="EN600" s="1362"/>
      <c r="EO600" s="1362"/>
      <c r="EP600" s="1362"/>
      <c r="EQ600" s="1363"/>
      <c r="ER600" s="1361" t="str">
        <f t="shared" si="21"/>
        <v/>
      </c>
      <c r="ES600" s="1362"/>
      <c r="ET600" s="1362"/>
      <c r="EU600" s="1362"/>
      <c r="EV600" s="1363"/>
      <c r="EW600" s="1361" t="str">
        <f t="shared" si="22"/>
        <v/>
      </c>
      <c r="EX600" s="1362"/>
      <c r="EY600" s="1362"/>
      <c r="EZ600" s="1362"/>
      <c r="FA600" s="1363"/>
    </row>
    <row r="601" spans="1:157" ht="12.9" customHeight="1">
      <c r="A601" s="55" t="s">
        <v>469</v>
      </c>
      <c r="B601" t="s">
        <v>471</v>
      </c>
      <c r="G601" s="1375">
        <f>C562</f>
        <v>0</v>
      </c>
      <c r="H601" s="1375"/>
      <c r="I601" s="1375"/>
      <c r="J601" s="1375"/>
      <c r="K601" s="1375"/>
      <c r="L601" s="1375"/>
      <c r="M601" s="1375"/>
      <c r="N601" s="1375"/>
      <c r="O601" s="1375"/>
      <c r="P601" s="1375"/>
      <c r="Q601" s="1375"/>
      <c r="R601" s="1375"/>
      <c r="T601" s="55" t="s">
        <v>654</v>
      </c>
      <c r="U601" t="s">
        <v>471</v>
      </c>
      <c r="Z601" s="1375">
        <f>C563</f>
        <v>0</v>
      </c>
      <c r="AA601" s="1375"/>
      <c r="AB601" s="1375"/>
      <c r="AC601" s="1375"/>
      <c r="AD601" s="1375"/>
      <c r="AE601" s="1375"/>
      <c r="AF601" s="1375"/>
      <c r="AG601" s="1375"/>
      <c r="AH601" s="1375"/>
      <c r="AI601" s="1375"/>
      <c r="AJ601" s="1375"/>
      <c r="AK601" s="1375"/>
      <c r="BA601" s="4" t="s">
        <v>30</v>
      </c>
      <c r="BB601" s="3"/>
      <c r="BC601" s="3"/>
      <c r="BD601" s="3"/>
      <c r="BE601" s="1361">
        <f t="shared" si="1"/>
        <v>0</v>
      </c>
      <c r="BF601" s="1363"/>
      <c r="BG601" s="1404">
        <f t="shared" si="2"/>
        <v>0</v>
      </c>
      <c r="BH601" s="1405"/>
      <c r="BI601" s="1361">
        <f t="shared" si="3"/>
        <v>0</v>
      </c>
      <c r="BJ601" s="1363"/>
      <c r="BK601" s="1404">
        <f t="shared" si="4"/>
        <v>0</v>
      </c>
      <c r="BL601" s="1405"/>
      <c r="BM601" s="3"/>
      <c r="BN601" s="1401">
        <f t="shared" si="5"/>
        <v>0</v>
      </c>
      <c r="BO601" s="1402"/>
      <c r="BP601" s="1402"/>
      <c r="BQ601" s="1402"/>
      <c r="BR601" s="1403"/>
      <c r="BS601" s="1406">
        <f t="shared" si="6"/>
        <v>6</v>
      </c>
      <c r="BT601" s="1406"/>
      <c r="BU601" s="1406"/>
      <c r="BV601" s="1406"/>
      <c r="BW601" s="1406"/>
      <c r="BX601" s="1406">
        <f t="shared" si="7"/>
        <v>0</v>
      </c>
      <c r="BY601" s="1406"/>
      <c r="BZ601" s="1406"/>
      <c r="CA601" s="1406"/>
      <c r="CB601" s="1406"/>
      <c r="CC601" s="1406">
        <f t="shared" si="8"/>
        <v>0</v>
      </c>
      <c r="CD601" s="1406"/>
      <c r="CE601" s="1406"/>
      <c r="CF601" s="1406"/>
      <c r="CG601" s="1406"/>
      <c r="CH601" s="1406">
        <f t="shared" si="9"/>
        <v>0</v>
      </c>
      <c r="CI601" s="1406"/>
      <c r="CJ601" s="1406"/>
      <c r="CK601" s="1406"/>
      <c r="CL601" s="1406"/>
      <c r="CM601" s="1406">
        <f t="shared" si="10"/>
        <v>0</v>
      </c>
      <c r="CN601" s="1406"/>
      <c r="CO601" s="1406"/>
      <c r="CP601" s="1406"/>
      <c r="CQ601" s="1406"/>
      <c r="CR601" s="6"/>
      <c r="CS601" s="1400">
        <f t="shared" si="11"/>
        <v>0</v>
      </c>
      <c r="CT601" s="1400"/>
      <c r="CU601" s="1400"/>
      <c r="CV601" s="1400"/>
      <c r="CW601" s="1400"/>
      <c r="CX601" s="1400">
        <f t="shared" si="12"/>
        <v>0</v>
      </c>
      <c r="CY601" s="1400"/>
      <c r="CZ601" s="1400"/>
      <c r="DA601" s="1400"/>
      <c r="DB601" s="1400"/>
      <c r="DC601" s="1400">
        <f t="shared" si="13"/>
        <v>0</v>
      </c>
      <c r="DD601" s="1400"/>
      <c r="DE601" s="1400"/>
      <c r="DF601" s="1400"/>
      <c r="DG601" s="1400"/>
      <c r="DH601" s="1400">
        <f t="shared" si="14"/>
        <v>0</v>
      </c>
      <c r="DI601" s="1400"/>
      <c r="DJ601" s="1400"/>
      <c r="DK601" s="1400"/>
      <c r="DL601" s="1400"/>
      <c r="DM601" s="1400">
        <f t="shared" si="15"/>
        <v>0</v>
      </c>
      <c r="DN601" s="1400"/>
      <c r="DO601" s="1400"/>
      <c r="DP601" s="1400"/>
      <c r="DQ601" s="1400"/>
      <c r="DR601" s="1400">
        <f t="shared" si="16"/>
        <v>0</v>
      </c>
      <c r="DS601" s="1400"/>
      <c r="DT601" s="1400"/>
      <c r="DU601" s="1400"/>
      <c r="DV601" s="1400"/>
      <c r="DX601" s="1361" t="str">
        <f t="shared" si="17"/>
        <v/>
      </c>
      <c r="DY601" s="1362"/>
      <c r="DZ601" s="1362"/>
      <c r="EA601" s="1362"/>
      <c r="EB601" s="1363"/>
      <c r="EC601" s="1361">
        <f t="shared" si="18"/>
        <v>1425</v>
      </c>
      <c r="ED601" s="1362"/>
      <c r="EE601" s="1362"/>
      <c r="EF601" s="1362"/>
      <c r="EG601" s="1363"/>
      <c r="EH601" s="1361" t="str">
        <f t="shared" si="19"/>
        <v/>
      </c>
      <c r="EI601" s="1362"/>
      <c r="EJ601" s="1362"/>
      <c r="EK601" s="1362"/>
      <c r="EL601" s="1363"/>
      <c r="EM601" s="1361" t="str">
        <f t="shared" si="20"/>
        <v/>
      </c>
      <c r="EN601" s="1362"/>
      <c r="EO601" s="1362"/>
      <c r="EP601" s="1362"/>
      <c r="EQ601" s="1363"/>
      <c r="ER601" s="1361" t="str">
        <f t="shared" si="21"/>
        <v/>
      </c>
      <c r="ES601" s="1362"/>
      <c r="ET601" s="1362"/>
      <c r="EU601" s="1362"/>
      <c r="EV601" s="1363"/>
      <c r="EW601" s="1361" t="str">
        <f t="shared" si="22"/>
        <v/>
      </c>
      <c r="EX601" s="1362"/>
      <c r="EY601" s="1362"/>
      <c r="EZ601" s="1362"/>
      <c r="FA601" s="1363"/>
    </row>
    <row r="602" spans="1:157" ht="12.9" customHeight="1">
      <c r="A602" s="22"/>
      <c r="B602" t="s">
        <v>85</v>
      </c>
      <c r="G602" s="1364"/>
      <c r="H602" s="1364"/>
      <c r="I602" s="1364"/>
      <c r="J602" s="1364"/>
      <c r="K602" s="1364"/>
      <c r="L602" s="1364"/>
      <c r="M602" s="1364"/>
      <c r="N602" s="1364"/>
      <c r="O602" s="1364"/>
      <c r="P602" s="1364"/>
      <c r="Q602" s="1364"/>
      <c r="R602" s="1364"/>
      <c r="T602" s="22"/>
      <c r="U602" t="s">
        <v>85</v>
      </c>
      <c r="Z602" s="1364"/>
      <c r="AA602" s="1364"/>
      <c r="AB602" s="1364"/>
      <c r="AC602" s="1364"/>
      <c r="AD602" s="1364"/>
      <c r="AE602" s="1364"/>
      <c r="AF602" s="1364"/>
      <c r="AG602" s="1364"/>
      <c r="AH602" s="1364"/>
      <c r="AI602" s="1364"/>
      <c r="AJ602" s="1364"/>
      <c r="AK602" s="1364"/>
      <c r="AZ602" s="3"/>
      <c r="BA602" s="3"/>
      <c r="BB602" s="3"/>
      <c r="BC602" s="3"/>
      <c r="BD602" s="3"/>
      <c r="BE602" s="1361">
        <f t="shared" si="1"/>
        <v>0</v>
      </c>
      <c r="BF602" s="1363"/>
      <c r="BG602" s="1404">
        <f t="shared" si="2"/>
        <v>0</v>
      </c>
      <c r="BH602" s="1405"/>
      <c r="BI602" s="1361">
        <f t="shared" si="3"/>
        <v>0</v>
      </c>
      <c r="BJ602" s="1363"/>
      <c r="BK602" s="1404">
        <f t="shared" si="4"/>
        <v>0</v>
      </c>
      <c r="BL602" s="1405"/>
      <c r="BM602" s="3"/>
      <c r="BN602" s="1401">
        <f t="shared" si="5"/>
        <v>0</v>
      </c>
      <c r="BO602" s="1402"/>
      <c r="BP602" s="1402"/>
      <c r="BQ602" s="1402"/>
      <c r="BR602" s="1403"/>
      <c r="BS602" s="1406">
        <f t="shared" si="6"/>
        <v>36</v>
      </c>
      <c r="BT602" s="1406"/>
      <c r="BU602" s="1406"/>
      <c r="BV602" s="1406"/>
      <c r="BW602" s="1406"/>
      <c r="BX602" s="1406">
        <f t="shared" si="7"/>
        <v>0</v>
      </c>
      <c r="BY602" s="1406"/>
      <c r="BZ602" s="1406"/>
      <c r="CA602" s="1406"/>
      <c r="CB602" s="1406"/>
      <c r="CC602" s="1406">
        <f t="shared" si="8"/>
        <v>0</v>
      </c>
      <c r="CD602" s="1406"/>
      <c r="CE602" s="1406"/>
      <c r="CF602" s="1406"/>
      <c r="CG602" s="1406"/>
      <c r="CH602" s="1406">
        <f t="shared" si="9"/>
        <v>0</v>
      </c>
      <c r="CI602" s="1406"/>
      <c r="CJ602" s="1406"/>
      <c r="CK602" s="1406"/>
      <c r="CL602" s="1406"/>
      <c r="CM602" s="1406">
        <f t="shared" si="10"/>
        <v>0</v>
      </c>
      <c r="CN602" s="1406"/>
      <c r="CO602" s="1406"/>
      <c r="CP602" s="1406"/>
      <c r="CQ602" s="1406"/>
      <c r="CR602" s="6"/>
      <c r="CS602" s="1400">
        <f t="shared" si="11"/>
        <v>0</v>
      </c>
      <c r="CT602" s="1400"/>
      <c r="CU602" s="1400"/>
      <c r="CV602" s="1400"/>
      <c r="CW602" s="1400"/>
      <c r="CX602" s="1400">
        <f t="shared" si="12"/>
        <v>0</v>
      </c>
      <c r="CY602" s="1400"/>
      <c r="CZ602" s="1400"/>
      <c r="DA602" s="1400"/>
      <c r="DB602" s="1400"/>
      <c r="DC602" s="1400">
        <f t="shared" si="13"/>
        <v>0</v>
      </c>
      <c r="DD602" s="1400"/>
      <c r="DE602" s="1400"/>
      <c r="DF602" s="1400"/>
      <c r="DG602" s="1400"/>
      <c r="DH602" s="1400">
        <f t="shared" si="14"/>
        <v>0</v>
      </c>
      <c r="DI602" s="1400"/>
      <c r="DJ602" s="1400"/>
      <c r="DK602" s="1400"/>
      <c r="DL602" s="1400"/>
      <c r="DM602" s="1400">
        <f t="shared" si="15"/>
        <v>0</v>
      </c>
      <c r="DN602" s="1400"/>
      <c r="DO602" s="1400"/>
      <c r="DP602" s="1400"/>
      <c r="DQ602" s="1400"/>
      <c r="DR602" s="1400">
        <f t="shared" si="16"/>
        <v>0</v>
      </c>
      <c r="DS602" s="1400"/>
      <c r="DT602" s="1400"/>
      <c r="DU602" s="1400"/>
      <c r="DV602" s="1400"/>
      <c r="DX602" s="1361" t="str">
        <f t="shared" si="17"/>
        <v/>
      </c>
      <c r="DY602" s="1362"/>
      <c r="DZ602" s="1362"/>
      <c r="EA602" s="1362"/>
      <c r="EB602" s="1363"/>
      <c r="EC602" s="1361">
        <f t="shared" si="18"/>
        <v>1674</v>
      </c>
      <c r="ED602" s="1362"/>
      <c r="EE602" s="1362"/>
      <c r="EF602" s="1362"/>
      <c r="EG602" s="1363"/>
      <c r="EH602" s="1361" t="str">
        <f t="shared" si="19"/>
        <v/>
      </c>
      <c r="EI602" s="1362"/>
      <c r="EJ602" s="1362"/>
      <c r="EK602" s="1362"/>
      <c r="EL602" s="1363"/>
      <c r="EM602" s="1361" t="str">
        <f t="shared" si="20"/>
        <v/>
      </c>
      <c r="EN602" s="1362"/>
      <c r="EO602" s="1362"/>
      <c r="EP602" s="1362"/>
      <c r="EQ602" s="1363"/>
      <c r="ER602" s="1361" t="str">
        <f t="shared" si="21"/>
        <v/>
      </c>
      <c r="ES602" s="1362"/>
      <c r="ET602" s="1362"/>
      <c r="EU602" s="1362"/>
      <c r="EV602" s="1363"/>
      <c r="EW602" s="1361" t="str">
        <f t="shared" si="22"/>
        <v/>
      </c>
      <c r="EX602" s="1362"/>
      <c r="EY602" s="1362"/>
      <c r="EZ602" s="1362"/>
      <c r="FA602" s="1363"/>
    </row>
    <row r="603" spans="1:157" ht="12.9" customHeight="1">
      <c r="A603" s="22"/>
      <c r="B603" t="s">
        <v>588</v>
      </c>
      <c r="G603" s="1364"/>
      <c r="H603" s="1364"/>
      <c r="I603" s="1364"/>
      <c r="J603" s="1364"/>
      <c r="K603" s="1364"/>
      <c r="L603" s="1364"/>
      <c r="M603" s="1364"/>
      <c r="N603" s="1364"/>
      <c r="O603" s="1364"/>
      <c r="P603" s="1364"/>
      <c r="Q603" s="1364"/>
      <c r="R603" s="1364"/>
      <c r="T603" s="22"/>
      <c r="U603" t="s">
        <v>588</v>
      </c>
      <c r="Z603" s="1376"/>
      <c r="AA603" s="1376"/>
      <c r="AB603" s="1376"/>
      <c r="AC603" s="1376"/>
      <c r="AD603" s="1376"/>
      <c r="AE603" s="1376"/>
      <c r="AF603" s="1376"/>
      <c r="AG603" s="1376"/>
      <c r="AH603" s="1376"/>
      <c r="AI603" s="1376"/>
      <c r="AJ603" s="1376"/>
      <c r="AK603" s="1376"/>
      <c r="AZ603" s="3"/>
      <c r="BA603" s="3"/>
      <c r="BB603" s="3"/>
      <c r="BC603" s="3"/>
      <c r="BD603" s="3"/>
      <c r="BE603" s="1361">
        <f t="shared" si="1"/>
        <v>0</v>
      </c>
      <c r="BF603" s="1363"/>
      <c r="BG603" s="1404">
        <f t="shared" si="2"/>
        <v>0</v>
      </c>
      <c r="BH603" s="1405"/>
      <c r="BI603" s="1361">
        <f t="shared" si="3"/>
        <v>1</v>
      </c>
      <c r="BJ603" s="1363"/>
      <c r="BK603" s="1404">
        <f t="shared" si="4"/>
        <v>2</v>
      </c>
      <c r="BL603" s="1405"/>
      <c r="BM603" s="3"/>
      <c r="BN603" s="1401">
        <f t="shared" si="5"/>
        <v>0</v>
      </c>
      <c r="BO603" s="1402"/>
      <c r="BP603" s="1402"/>
      <c r="BQ603" s="1402"/>
      <c r="BR603" s="1403"/>
      <c r="BS603" s="1406">
        <f t="shared" si="6"/>
        <v>0</v>
      </c>
      <c r="BT603" s="1406"/>
      <c r="BU603" s="1406"/>
      <c r="BV603" s="1406"/>
      <c r="BW603" s="1406"/>
      <c r="BX603" s="1406">
        <f t="shared" si="7"/>
        <v>2</v>
      </c>
      <c r="BY603" s="1406"/>
      <c r="BZ603" s="1406"/>
      <c r="CA603" s="1406"/>
      <c r="CB603" s="1406"/>
      <c r="CC603" s="1406">
        <f t="shared" si="8"/>
        <v>0</v>
      </c>
      <c r="CD603" s="1406"/>
      <c r="CE603" s="1406"/>
      <c r="CF603" s="1406"/>
      <c r="CG603" s="1406"/>
      <c r="CH603" s="1406">
        <f t="shared" si="9"/>
        <v>0</v>
      </c>
      <c r="CI603" s="1406"/>
      <c r="CJ603" s="1406"/>
      <c r="CK603" s="1406"/>
      <c r="CL603" s="1406"/>
      <c r="CM603" s="1406">
        <f t="shared" si="10"/>
        <v>0</v>
      </c>
      <c r="CN603" s="1406"/>
      <c r="CO603" s="1406"/>
      <c r="CP603" s="1406"/>
      <c r="CQ603" s="1406"/>
      <c r="CR603" s="6"/>
      <c r="CS603" s="1400">
        <f t="shared" si="11"/>
        <v>0</v>
      </c>
      <c r="CT603" s="1400"/>
      <c r="CU603" s="1400"/>
      <c r="CV603" s="1400"/>
      <c r="CW603" s="1400"/>
      <c r="CX603" s="1400">
        <f t="shared" si="12"/>
        <v>0</v>
      </c>
      <c r="CY603" s="1400"/>
      <c r="CZ603" s="1400"/>
      <c r="DA603" s="1400"/>
      <c r="DB603" s="1400"/>
      <c r="DC603" s="1400">
        <f t="shared" si="13"/>
        <v>2</v>
      </c>
      <c r="DD603" s="1400"/>
      <c r="DE603" s="1400"/>
      <c r="DF603" s="1400"/>
      <c r="DG603" s="1400"/>
      <c r="DH603" s="1400">
        <f t="shared" si="14"/>
        <v>0</v>
      </c>
      <c r="DI603" s="1400"/>
      <c r="DJ603" s="1400"/>
      <c r="DK603" s="1400"/>
      <c r="DL603" s="1400"/>
      <c r="DM603" s="1400">
        <f t="shared" si="15"/>
        <v>0</v>
      </c>
      <c r="DN603" s="1400"/>
      <c r="DO603" s="1400"/>
      <c r="DP603" s="1400"/>
      <c r="DQ603" s="1400"/>
      <c r="DR603" s="1400">
        <f t="shared" si="16"/>
        <v>0</v>
      </c>
      <c r="DS603" s="1400"/>
      <c r="DT603" s="1400"/>
      <c r="DU603" s="1400"/>
      <c r="DV603" s="1400"/>
      <c r="DX603" s="1361" t="str">
        <f t="shared" si="17"/>
        <v/>
      </c>
      <c r="DY603" s="1362"/>
      <c r="DZ603" s="1362"/>
      <c r="EA603" s="1362"/>
      <c r="EB603" s="1363"/>
      <c r="EC603" s="1361" t="str">
        <f t="shared" si="18"/>
        <v/>
      </c>
      <c r="ED603" s="1362"/>
      <c r="EE603" s="1362"/>
      <c r="EF603" s="1362"/>
      <c r="EG603" s="1363"/>
      <c r="EH603" s="1361">
        <f t="shared" si="19"/>
        <v>801</v>
      </c>
      <c r="EI603" s="1362"/>
      <c r="EJ603" s="1362"/>
      <c r="EK603" s="1362"/>
      <c r="EL603" s="1363"/>
      <c r="EM603" s="1361" t="str">
        <f t="shared" si="20"/>
        <v/>
      </c>
      <c r="EN603" s="1362"/>
      <c r="EO603" s="1362"/>
      <c r="EP603" s="1362"/>
      <c r="EQ603" s="1363"/>
      <c r="ER603" s="1361" t="str">
        <f t="shared" si="21"/>
        <v/>
      </c>
      <c r="ES603" s="1362"/>
      <c r="ET603" s="1362"/>
      <c r="EU603" s="1362"/>
      <c r="EV603" s="1363"/>
      <c r="EW603" s="1361" t="str">
        <f t="shared" si="22"/>
        <v/>
      </c>
      <c r="EX603" s="1362"/>
      <c r="EY603" s="1362"/>
      <c r="EZ603" s="1362"/>
      <c r="FA603" s="1363"/>
    </row>
    <row r="604" spans="1:157" ht="12.9" customHeight="1">
      <c r="A604" s="22"/>
      <c r="B604" t="s">
        <v>17</v>
      </c>
      <c r="G604" s="1364"/>
      <c r="H604" s="1364"/>
      <c r="I604" s="1364"/>
      <c r="J604" s="1364"/>
      <c r="K604" s="1364"/>
      <c r="L604" s="1364"/>
      <c r="M604" s="1364"/>
      <c r="N604" s="1364"/>
      <c r="O604" s="1364"/>
      <c r="P604" s="1364"/>
      <c r="Q604" s="1364"/>
      <c r="R604" s="1364"/>
      <c r="T604" s="22"/>
      <c r="U604" t="s">
        <v>17</v>
      </c>
      <c r="Z604" s="1376"/>
      <c r="AA604" s="1376"/>
      <c r="AB604" s="1376"/>
      <c r="AC604" s="1376"/>
      <c r="AD604" s="1376"/>
      <c r="AE604" s="1376"/>
      <c r="AF604" s="1376"/>
      <c r="AG604" s="1376"/>
      <c r="AH604" s="1376"/>
      <c r="AI604" s="1376"/>
      <c r="AJ604" s="1376"/>
      <c r="AK604" s="1376"/>
      <c r="AZ604" s="3"/>
      <c r="BA604" s="3"/>
      <c r="BB604" s="3"/>
      <c r="BC604" s="3"/>
      <c r="BD604" s="3"/>
      <c r="BE604" s="1361">
        <f t="shared" si="1"/>
        <v>0</v>
      </c>
      <c r="BF604" s="1363"/>
      <c r="BG604" s="1404">
        <f t="shared" si="2"/>
        <v>0</v>
      </c>
      <c r="BH604" s="1405"/>
      <c r="BI604" s="1361">
        <f t="shared" si="3"/>
        <v>1</v>
      </c>
      <c r="BJ604" s="1363"/>
      <c r="BK604" s="1404">
        <f t="shared" si="4"/>
        <v>2</v>
      </c>
      <c r="BL604" s="1405"/>
      <c r="BM604" s="3"/>
      <c r="BN604" s="1401">
        <f t="shared" si="5"/>
        <v>0</v>
      </c>
      <c r="BO604" s="1402"/>
      <c r="BP604" s="1402"/>
      <c r="BQ604" s="1402"/>
      <c r="BR604" s="1403"/>
      <c r="BS604" s="1406">
        <f t="shared" si="6"/>
        <v>0</v>
      </c>
      <c r="BT604" s="1406"/>
      <c r="BU604" s="1406"/>
      <c r="BV604" s="1406"/>
      <c r="BW604" s="1406"/>
      <c r="BX604" s="1406">
        <f t="shared" si="7"/>
        <v>2</v>
      </c>
      <c r="BY604" s="1406"/>
      <c r="BZ604" s="1406"/>
      <c r="CA604" s="1406"/>
      <c r="CB604" s="1406"/>
      <c r="CC604" s="1406">
        <f t="shared" si="8"/>
        <v>0</v>
      </c>
      <c r="CD604" s="1406"/>
      <c r="CE604" s="1406"/>
      <c r="CF604" s="1406"/>
      <c r="CG604" s="1406"/>
      <c r="CH604" s="1406">
        <f t="shared" si="9"/>
        <v>0</v>
      </c>
      <c r="CI604" s="1406"/>
      <c r="CJ604" s="1406"/>
      <c r="CK604" s="1406"/>
      <c r="CL604" s="1406"/>
      <c r="CM604" s="1406">
        <f t="shared" si="10"/>
        <v>0</v>
      </c>
      <c r="CN604" s="1406"/>
      <c r="CO604" s="1406"/>
      <c r="CP604" s="1406"/>
      <c r="CQ604" s="1406"/>
      <c r="CR604" s="6"/>
      <c r="CS604" s="1400">
        <f t="shared" si="11"/>
        <v>0</v>
      </c>
      <c r="CT604" s="1400"/>
      <c r="CU604" s="1400"/>
      <c r="CV604" s="1400"/>
      <c r="CW604" s="1400"/>
      <c r="CX604" s="1400">
        <f t="shared" si="12"/>
        <v>0</v>
      </c>
      <c r="CY604" s="1400"/>
      <c r="CZ604" s="1400"/>
      <c r="DA604" s="1400"/>
      <c r="DB604" s="1400"/>
      <c r="DC604" s="1400">
        <f t="shared" si="13"/>
        <v>2</v>
      </c>
      <c r="DD604" s="1400"/>
      <c r="DE604" s="1400"/>
      <c r="DF604" s="1400"/>
      <c r="DG604" s="1400"/>
      <c r="DH604" s="1400">
        <f t="shared" si="14"/>
        <v>0</v>
      </c>
      <c r="DI604" s="1400"/>
      <c r="DJ604" s="1400"/>
      <c r="DK604" s="1400"/>
      <c r="DL604" s="1400"/>
      <c r="DM604" s="1400">
        <f t="shared" si="15"/>
        <v>0</v>
      </c>
      <c r="DN604" s="1400"/>
      <c r="DO604" s="1400"/>
      <c r="DP604" s="1400"/>
      <c r="DQ604" s="1400"/>
      <c r="DR604" s="1400">
        <f t="shared" si="16"/>
        <v>0</v>
      </c>
      <c r="DS604" s="1400"/>
      <c r="DT604" s="1400"/>
      <c r="DU604" s="1400"/>
      <c r="DV604" s="1400"/>
      <c r="DX604" s="1361" t="str">
        <f t="shared" si="17"/>
        <v/>
      </c>
      <c r="DY604" s="1362"/>
      <c r="DZ604" s="1362"/>
      <c r="EA604" s="1362"/>
      <c r="EB604" s="1363"/>
      <c r="EC604" s="1361" t="str">
        <f t="shared" si="18"/>
        <v/>
      </c>
      <c r="ED604" s="1362"/>
      <c r="EE604" s="1362"/>
      <c r="EF604" s="1362"/>
      <c r="EG604" s="1363"/>
      <c r="EH604" s="1361">
        <f t="shared" si="19"/>
        <v>801</v>
      </c>
      <c r="EI604" s="1362"/>
      <c r="EJ604" s="1362"/>
      <c r="EK604" s="1362"/>
      <c r="EL604" s="1363"/>
      <c r="EM604" s="1361" t="str">
        <f t="shared" si="20"/>
        <v/>
      </c>
      <c r="EN604" s="1362"/>
      <c r="EO604" s="1362"/>
      <c r="EP604" s="1362"/>
      <c r="EQ604" s="1363"/>
      <c r="ER604" s="1361" t="str">
        <f t="shared" si="21"/>
        <v/>
      </c>
      <c r="ES604" s="1362"/>
      <c r="ET604" s="1362"/>
      <c r="EU604" s="1362"/>
      <c r="EV604" s="1363"/>
      <c r="EW604" s="1361" t="str">
        <f t="shared" si="22"/>
        <v/>
      </c>
      <c r="EX604" s="1362"/>
      <c r="EY604" s="1362"/>
      <c r="EZ604" s="1362"/>
      <c r="FA604" s="1363"/>
    </row>
    <row r="605" spans="1:157" s="4" customFormat="1" ht="12.9" customHeight="1">
      <c r="A605" s="22"/>
      <c r="B605" t="s">
        <v>317</v>
      </c>
      <c r="C605"/>
      <c r="D605"/>
      <c r="E605"/>
      <c r="F605"/>
      <c r="G605" s="1396"/>
      <c r="H605" s="1396"/>
      <c r="I605" s="1396"/>
      <c r="J605" s="1396"/>
      <c r="K605" s="1396"/>
      <c r="L605" s="1396"/>
      <c r="M605"/>
      <c r="N605"/>
      <c r="O605" s="33" t="s">
        <v>207</v>
      </c>
      <c r="P605" s="1377"/>
      <c r="Q605" s="1377"/>
      <c r="R605" s="1377"/>
      <c r="S605"/>
      <c r="T605" s="22"/>
      <c r="U605" t="s">
        <v>317</v>
      </c>
      <c r="V605"/>
      <c r="W605"/>
      <c r="X605"/>
      <c r="Y605"/>
      <c r="Z605" s="1396"/>
      <c r="AA605" s="1396"/>
      <c r="AB605" s="1396"/>
      <c r="AC605" s="1396"/>
      <c r="AD605" s="1396"/>
      <c r="AE605" s="1396"/>
      <c r="AF605"/>
      <c r="AG605"/>
      <c r="AH605" s="33" t="s">
        <v>207</v>
      </c>
      <c r="AI605" s="1377"/>
      <c r="AJ605" s="1377"/>
      <c r="AK605" s="1377"/>
      <c r="AL605"/>
      <c r="AM605"/>
      <c r="AN605"/>
      <c r="AO605"/>
      <c r="AP605"/>
      <c r="AQ605"/>
      <c r="AR605"/>
      <c r="AS605"/>
      <c r="AT605"/>
      <c r="AU605"/>
      <c r="AV605"/>
      <c r="AW605"/>
      <c r="AX605"/>
      <c r="AY605"/>
      <c r="AZ605" s="3"/>
      <c r="BA605" s="3"/>
      <c r="BB605" s="3"/>
      <c r="BC605" s="3"/>
      <c r="BD605" s="3"/>
      <c r="BE605" s="1361">
        <f t="shared" si="1"/>
        <v>1</v>
      </c>
      <c r="BF605" s="1363"/>
      <c r="BG605" s="1404">
        <f t="shared" si="2"/>
        <v>4</v>
      </c>
      <c r="BH605" s="1405"/>
      <c r="BI605" s="1361">
        <f t="shared" si="3"/>
        <v>0</v>
      </c>
      <c r="BJ605" s="1363"/>
      <c r="BK605" s="1404">
        <f t="shared" si="4"/>
        <v>0</v>
      </c>
      <c r="BL605" s="1405"/>
      <c r="BM605" s="3"/>
      <c r="BN605" s="1401">
        <f t="shared" si="5"/>
        <v>0</v>
      </c>
      <c r="BO605" s="1402"/>
      <c r="BP605" s="1402"/>
      <c r="BQ605" s="1402"/>
      <c r="BR605" s="1403"/>
      <c r="BS605" s="1406">
        <f t="shared" si="6"/>
        <v>0</v>
      </c>
      <c r="BT605" s="1406"/>
      <c r="BU605" s="1406"/>
      <c r="BV605" s="1406"/>
      <c r="BW605" s="1406"/>
      <c r="BX605" s="1406">
        <f t="shared" si="7"/>
        <v>4</v>
      </c>
      <c r="BY605" s="1406"/>
      <c r="BZ605" s="1406"/>
      <c r="CA605" s="1406"/>
      <c r="CB605" s="1406"/>
      <c r="CC605" s="1406">
        <f t="shared" si="8"/>
        <v>0</v>
      </c>
      <c r="CD605" s="1406"/>
      <c r="CE605" s="1406"/>
      <c r="CF605" s="1406"/>
      <c r="CG605" s="1406"/>
      <c r="CH605" s="1406">
        <f t="shared" si="9"/>
        <v>0</v>
      </c>
      <c r="CI605" s="1406"/>
      <c r="CJ605" s="1406"/>
      <c r="CK605" s="1406"/>
      <c r="CL605" s="1406"/>
      <c r="CM605" s="1406">
        <f t="shared" si="10"/>
        <v>0</v>
      </c>
      <c r="CN605" s="1406"/>
      <c r="CO605" s="1406"/>
      <c r="CP605" s="1406"/>
      <c r="CQ605" s="1406"/>
      <c r="CR605" s="6"/>
      <c r="CS605" s="1400">
        <f t="shared" si="11"/>
        <v>0</v>
      </c>
      <c r="CT605" s="1400"/>
      <c r="CU605" s="1400"/>
      <c r="CV605" s="1400"/>
      <c r="CW605" s="1400"/>
      <c r="CX605" s="1400">
        <f t="shared" si="12"/>
        <v>0</v>
      </c>
      <c r="CY605" s="1400"/>
      <c r="CZ605" s="1400"/>
      <c r="DA605" s="1400"/>
      <c r="DB605" s="1400"/>
      <c r="DC605" s="1400">
        <f t="shared" si="13"/>
        <v>0</v>
      </c>
      <c r="DD605" s="1400"/>
      <c r="DE605" s="1400"/>
      <c r="DF605" s="1400"/>
      <c r="DG605" s="1400"/>
      <c r="DH605" s="1400">
        <f t="shared" si="14"/>
        <v>0</v>
      </c>
      <c r="DI605" s="1400"/>
      <c r="DJ605" s="1400"/>
      <c r="DK605" s="1400"/>
      <c r="DL605" s="1400"/>
      <c r="DM605" s="1400">
        <f t="shared" si="15"/>
        <v>0</v>
      </c>
      <c r="DN605" s="1400"/>
      <c r="DO605" s="1400"/>
      <c r="DP605" s="1400"/>
      <c r="DQ605" s="1400"/>
      <c r="DR605" s="1400">
        <f t="shared" si="16"/>
        <v>0</v>
      </c>
      <c r="DS605" s="1400"/>
      <c r="DT605" s="1400"/>
      <c r="DU605" s="1400"/>
      <c r="DV605" s="1400"/>
      <c r="DX605" s="1361" t="str">
        <f t="shared" si="17"/>
        <v/>
      </c>
      <c r="DY605" s="1362"/>
      <c r="DZ605" s="1362"/>
      <c r="EA605" s="1362"/>
      <c r="EB605" s="1363"/>
      <c r="EC605" s="1361" t="str">
        <f t="shared" si="18"/>
        <v/>
      </c>
      <c r="ED605" s="1362"/>
      <c r="EE605" s="1362"/>
      <c r="EF605" s="1362"/>
      <c r="EG605" s="1363"/>
      <c r="EH605" s="1361">
        <f t="shared" si="19"/>
        <v>1100</v>
      </c>
      <c r="EI605" s="1362"/>
      <c r="EJ605" s="1362"/>
      <c r="EK605" s="1362"/>
      <c r="EL605" s="1363"/>
      <c r="EM605" s="1361" t="str">
        <f t="shared" si="20"/>
        <v/>
      </c>
      <c r="EN605" s="1362"/>
      <c r="EO605" s="1362"/>
      <c r="EP605" s="1362"/>
      <c r="EQ605" s="1363"/>
      <c r="ER605" s="1361" t="str">
        <f t="shared" si="21"/>
        <v/>
      </c>
      <c r="ES605" s="1362"/>
      <c r="ET605" s="1362"/>
      <c r="EU605" s="1362"/>
      <c r="EV605" s="1363"/>
      <c r="EW605" s="1361" t="str">
        <f t="shared" si="22"/>
        <v/>
      </c>
      <c r="EX605" s="1362"/>
      <c r="EY605" s="1362"/>
      <c r="EZ605" s="1362"/>
      <c r="FA605" s="1363"/>
    </row>
    <row r="606" spans="1:157" s="4" customFormat="1" ht="12.9" customHeight="1">
      <c r="A606" s="22"/>
      <c r="B606" t="s">
        <v>18</v>
      </c>
      <c r="C606"/>
      <c r="D606"/>
      <c r="E606"/>
      <c r="F606"/>
      <c r="G606"/>
      <c r="H606" s="1364"/>
      <c r="I606" s="1364"/>
      <c r="J606" s="1364"/>
      <c r="K606" s="1364"/>
      <c r="L606" s="1364"/>
      <c r="M606" s="1364"/>
      <c r="N606" s="1364"/>
      <c r="O606" s="1364"/>
      <c r="P606" s="1364"/>
      <c r="Q606" s="1364"/>
      <c r="R606" s="1364"/>
      <c r="S606"/>
      <c r="T606" s="22"/>
      <c r="U606" t="s">
        <v>18</v>
      </c>
      <c r="V606"/>
      <c r="W606"/>
      <c r="X606"/>
      <c r="Y606"/>
      <c r="Z606"/>
      <c r="AA606" s="1364"/>
      <c r="AB606" s="1364"/>
      <c r="AC606" s="1364"/>
      <c r="AD606" s="1364"/>
      <c r="AE606" s="1364"/>
      <c r="AF606" s="1364"/>
      <c r="AG606" s="1364"/>
      <c r="AH606" s="1364"/>
      <c r="AI606" s="1364"/>
      <c r="AJ606" s="1364"/>
      <c r="AK606" s="1364"/>
      <c r="AL606"/>
      <c r="AM606"/>
      <c r="AN606"/>
      <c r="AO606"/>
      <c r="AP606"/>
      <c r="AQ606"/>
      <c r="AR606"/>
      <c r="AS606"/>
      <c r="AT606"/>
      <c r="AU606"/>
      <c r="AV606"/>
      <c r="AW606"/>
      <c r="AX606"/>
      <c r="AY606"/>
      <c r="AZ606" s="3"/>
      <c r="BA606" s="3"/>
      <c r="BB606" s="3"/>
      <c r="BC606" s="3"/>
      <c r="BD606" s="3"/>
      <c r="BE606" s="1361">
        <f t="shared" si="1"/>
        <v>1</v>
      </c>
      <c r="BF606" s="1363"/>
      <c r="BG606" s="1404">
        <f t="shared" si="2"/>
        <v>4</v>
      </c>
      <c r="BH606" s="1405"/>
      <c r="BI606" s="1361">
        <f t="shared" si="3"/>
        <v>0</v>
      </c>
      <c r="BJ606" s="1363"/>
      <c r="BK606" s="1404">
        <f t="shared" si="4"/>
        <v>0</v>
      </c>
      <c r="BL606" s="1405"/>
      <c r="BM606" s="3"/>
      <c r="BN606" s="1401">
        <f t="shared" si="5"/>
        <v>0</v>
      </c>
      <c r="BO606" s="1402"/>
      <c r="BP606" s="1402"/>
      <c r="BQ606" s="1402"/>
      <c r="BR606" s="1403"/>
      <c r="BS606" s="1406">
        <f t="shared" si="6"/>
        <v>0</v>
      </c>
      <c r="BT606" s="1406"/>
      <c r="BU606" s="1406"/>
      <c r="BV606" s="1406"/>
      <c r="BW606" s="1406"/>
      <c r="BX606" s="1406">
        <f t="shared" si="7"/>
        <v>4</v>
      </c>
      <c r="BY606" s="1406"/>
      <c r="BZ606" s="1406"/>
      <c r="CA606" s="1406"/>
      <c r="CB606" s="1406"/>
      <c r="CC606" s="1406">
        <f t="shared" si="8"/>
        <v>0</v>
      </c>
      <c r="CD606" s="1406"/>
      <c r="CE606" s="1406"/>
      <c r="CF606" s="1406"/>
      <c r="CG606" s="1406"/>
      <c r="CH606" s="1406">
        <f t="shared" si="9"/>
        <v>0</v>
      </c>
      <c r="CI606" s="1406"/>
      <c r="CJ606" s="1406"/>
      <c r="CK606" s="1406"/>
      <c r="CL606" s="1406"/>
      <c r="CM606" s="1406">
        <f t="shared" si="10"/>
        <v>0</v>
      </c>
      <c r="CN606" s="1406"/>
      <c r="CO606" s="1406"/>
      <c r="CP606" s="1406"/>
      <c r="CQ606" s="1406"/>
      <c r="CR606" s="6"/>
      <c r="CS606" s="1400">
        <f t="shared" si="11"/>
        <v>0</v>
      </c>
      <c r="CT606" s="1400"/>
      <c r="CU606" s="1400"/>
      <c r="CV606" s="1400"/>
      <c r="CW606" s="1400"/>
      <c r="CX606" s="1400">
        <f t="shared" si="12"/>
        <v>0</v>
      </c>
      <c r="CY606" s="1400"/>
      <c r="CZ606" s="1400"/>
      <c r="DA606" s="1400"/>
      <c r="DB606" s="1400"/>
      <c r="DC606" s="1400">
        <f t="shared" si="13"/>
        <v>0</v>
      </c>
      <c r="DD606" s="1400"/>
      <c r="DE606" s="1400"/>
      <c r="DF606" s="1400"/>
      <c r="DG606" s="1400"/>
      <c r="DH606" s="1400">
        <f t="shared" si="14"/>
        <v>0</v>
      </c>
      <c r="DI606" s="1400"/>
      <c r="DJ606" s="1400"/>
      <c r="DK606" s="1400"/>
      <c r="DL606" s="1400"/>
      <c r="DM606" s="1400">
        <f t="shared" si="15"/>
        <v>0</v>
      </c>
      <c r="DN606" s="1400"/>
      <c r="DO606" s="1400"/>
      <c r="DP606" s="1400"/>
      <c r="DQ606" s="1400"/>
      <c r="DR606" s="1400">
        <f t="shared" si="16"/>
        <v>0</v>
      </c>
      <c r="DS606" s="1400"/>
      <c r="DT606" s="1400"/>
      <c r="DU606" s="1400"/>
      <c r="DV606" s="1400"/>
      <c r="DX606" s="1361" t="str">
        <f t="shared" si="17"/>
        <v/>
      </c>
      <c r="DY606" s="1362"/>
      <c r="DZ606" s="1362"/>
      <c r="EA606" s="1362"/>
      <c r="EB606" s="1363"/>
      <c r="EC606" s="1361" t="str">
        <f t="shared" si="18"/>
        <v/>
      </c>
      <c r="ED606" s="1362"/>
      <c r="EE606" s="1362"/>
      <c r="EF606" s="1362"/>
      <c r="EG606" s="1363"/>
      <c r="EH606" s="1361">
        <f t="shared" si="19"/>
        <v>1399</v>
      </c>
      <c r="EI606" s="1362"/>
      <c r="EJ606" s="1362"/>
      <c r="EK606" s="1362"/>
      <c r="EL606" s="1363"/>
      <c r="EM606" s="1361" t="str">
        <f t="shared" si="20"/>
        <v/>
      </c>
      <c r="EN606" s="1362"/>
      <c r="EO606" s="1362"/>
      <c r="EP606" s="1362"/>
      <c r="EQ606" s="1363"/>
      <c r="ER606" s="1361" t="str">
        <f t="shared" si="21"/>
        <v/>
      </c>
      <c r="ES606" s="1362"/>
      <c r="ET606" s="1362"/>
      <c r="EU606" s="1362"/>
      <c r="EV606" s="1363"/>
      <c r="EW606" s="1361" t="str">
        <f t="shared" si="22"/>
        <v/>
      </c>
      <c r="EX606" s="1362"/>
      <c r="EY606" s="1362"/>
      <c r="EZ606" s="1362"/>
      <c r="FA606" s="1363"/>
    </row>
    <row r="607" spans="1:157" s="4" customFormat="1" ht="12.9" customHeight="1">
      <c r="A607" s="22"/>
      <c r="B607" t="s">
        <v>20</v>
      </c>
      <c r="C607"/>
      <c r="D607"/>
      <c r="E607"/>
      <c r="F607"/>
      <c r="G607"/>
      <c r="H607"/>
      <c r="I607"/>
      <c r="J607"/>
      <c r="K607"/>
      <c r="L607"/>
      <c r="M607"/>
      <c r="N607" s="1374" t="s">
        <v>677</v>
      </c>
      <c r="O607" s="1374"/>
      <c r="P607"/>
      <c r="Q607"/>
      <c r="R607"/>
      <c r="S607"/>
      <c r="T607" s="22"/>
      <c r="U607" t="s">
        <v>20</v>
      </c>
      <c r="V607"/>
      <c r="W607"/>
      <c r="X607"/>
      <c r="Y607"/>
      <c r="Z607"/>
      <c r="AA607"/>
      <c r="AB607"/>
      <c r="AC607"/>
      <c r="AD607"/>
      <c r="AE607"/>
      <c r="AF607"/>
      <c r="AG607" s="1374" t="s">
        <v>677</v>
      </c>
      <c r="AH607" s="1374"/>
      <c r="AI607"/>
      <c r="AJ607"/>
      <c r="AK607"/>
      <c r="AL607"/>
      <c r="AM607"/>
      <c r="AN607"/>
      <c r="AO607"/>
      <c r="AP607"/>
      <c r="AQ607"/>
      <c r="AR607"/>
      <c r="AS607"/>
      <c r="AT607"/>
      <c r="AU607"/>
      <c r="AV607"/>
      <c r="AW607"/>
      <c r="AX607"/>
      <c r="AY607"/>
      <c r="AZ607" s="3"/>
      <c r="BA607" s="3"/>
      <c r="BB607" s="3"/>
      <c r="BC607" s="3"/>
      <c r="BD607" s="3"/>
      <c r="BE607" s="1361">
        <f t="shared" si="1"/>
        <v>0</v>
      </c>
      <c r="BF607" s="1363"/>
      <c r="BG607" s="1404">
        <f t="shared" si="2"/>
        <v>0</v>
      </c>
      <c r="BH607" s="1405"/>
      <c r="BI607" s="1361">
        <f t="shared" si="3"/>
        <v>0</v>
      </c>
      <c r="BJ607" s="1363"/>
      <c r="BK607" s="1404">
        <f t="shared" si="4"/>
        <v>0</v>
      </c>
      <c r="BL607" s="1405"/>
      <c r="BM607" s="3"/>
      <c r="BN607" s="1401">
        <f t="shared" si="5"/>
        <v>0</v>
      </c>
      <c r="BO607" s="1402"/>
      <c r="BP607" s="1402"/>
      <c r="BQ607" s="1402"/>
      <c r="BR607" s="1403"/>
      <c r="BS607" s="1406">
        <f t="shared" si="6"/>
        <v>0</v>
      </c>
      <c r="BT607" s="1406"/>
      <c r="BU607" s="1406"/>
      <c r="BV607" s="1406"/>
      <c r="BW607" s="1406"/>
      <c r="BX607" s="1406">
        <f t="shared" si="7"/>
        <v>4</v>
      </c>
      <c r="BY607" s="1406"/>
      <c r="BZ607" s="1406"/>
      <c r="CA607" s="1406"/>
      <c r="CB607" s="1406"/>
      <c r="CC607" s="1406">
        <f t="shared" si="8"/>
        <v>0</v>
      </c>
      <c r="CD607" s="1406"/>
      <c r="CE607" s="1406"/>
      <c r="CF607" s="1406"/>
      <c r="CG607" s="1406"/>
      <c r="CH607" s="1406">
        <f t="shared" si="9"/>
        <v>0</v>
      </c>
      <c r="CI607" s="1406"/>
      <c r="CJ607" s="1406"/>
      <c r="CK607" s="1406"/>
      <c r="CL607" s="1406"/>
      <c r="CM607" s="1406">
        <f t="shared" si="10"/>
        <v>0</v>
      </c>
      <c r="CN607" s="1406"/>
      <c r="CO607" s="1406"/>
      <c r="CP607" s="1406"/>
      <c r="CQ607" s="1406"/>
      <c r="CR607" s="6"/>
      <c r="CS607" s="1400">
        <f t="shared" si="11"/>
        <v>0</v>
      </c>
      <c r="CT607" s="1400"/>
      <c r="CU607" s="1400"/>
      <c r="CV607" s="1400"/>
      <c r="CW607" s="1400"/>
      <c r="CX607" s="1400">
        <f t="shared" si="12"/>
        <v>0</v>
      </c>
      <c r="CY607" s="1400"/>
      <c r="CZ607" s="1400"/>
      <c r="DA607" s="1400"/>
      <c r="DB607" s="1400"/>
      <c r="DC607" s="1400">
        <f t="shared" si="13"/>
        <v>0</v>
      </c>
      <c r="DD607" s="1400"/>
      <c r="DE607" s="1400"/>
      <c r="DF607" s="1400"/>
      <c r="DG607" s="1400"/>
      <c r="DH607" s="1400">
        <f t="shared" si="14"/>
        <v>0</v>
      </c>
      <c r="DI607" s="1400"/>
      <c r="DJ607" s="1400"/>
      <c r="DK607" s="1400"/>
      <c r="DL607" s="1400"/>
      <c r="DM607" s="1400">
        <f t="shared" si="15"/>
        <v>0</v>
      </c>
      <c r="DN607" s="1400"/>
      <c r="DO607" s="1400"/>
      <c r="DP607" s="1400"/>
      <c r="DQ607" s="1400"/>
      <c r="DR607" s="1400">
        <f t="shared" si="16"/>
        <v>0</v>
      </c>
      <c r="DS607" s="1400"/>
      <c r="DT607" s="1400"/>
      <c r="DU607" s="1400"/>
      <c r="DV607" s="1400"/>
      <c r="DX607" s="1361" t="str">
        <f t="shared" si="17"/>
        <v/>
      </c>
      <c r="DY607" s="1362"/>
      <c r="DZ607" s="1362"/>
      <c r="EA607" s="1362"/>
      <c r="EB607" s="1363"/>
      <c r="EC607" s="1361" t="str">
        <f t="shared" si="18"/>
        <v/>
      </c>
      <c r="ED607" s="1362"/>
      <c r="EE607" s="1362"/>
      <c r="EF607" s="1362"/>
      <c r="EG607" s="1363"/>
      <c r="EH607" s="1361">
        <f t="shared" si="19"/>
        <v>1698</v>
      </c>
      <c r="EI607" s="1362"/>
      <c r="EJ607" s="1362"/>
      <c r="EK607" s="1362"/>
      <c r="EL607" s="1363"/>
      <c r="EM607" s="1361" t="str">
        <f t="shared" si="20"/>
        <v/>
      </c>
      <c r="EN607" s="1362"/>
      <c r="EO607" s="1362"/>
      <c r="EP607" s="1362"/>
      <c r="EQ607" s="1363"/>
      <c r="ER607" s="1361" t="str">
        <f t="shared" si="21"/>
        <v/>
      </c>
      <c r="ES607" s="1362"/>
      <c r="ET607" s="1362"/>
      <c r="EU607" s="1362"/>
      <c r="EV607" s="1363"/>
      <c r="EW607" s="1361" t="str">
        <f t="shared" si="22"/>
        <v/>
      </c>
      <c r="EX607" s="1362"/>
      <c r="EY607" s="1362"/>
      <c r="EZ607" s="1362"/>
      <c r="FA607" s="1363"/>
    </row>
    <row r="608" spans="1:157" ht="12.9" customHeight="1">
      <c r="A608" s="22"/>
      <c r="T608" s="22"/>
      <c r="AZ608" s="3"/>
      <c r="BA608" s="3"/>
      <c r="BB608" s="3"/>
      <c r="BC608" s="3"/>
      <c r="BD608" s="3"/>
      <c r="BE608" s="1361">
        <f t="shared" si="1"/>
        <v>0</v>
      </c>
      <c r="BF608" s="1363"/>
      <c r="BG608" s="1404">
        <f t="shared" si="2"/>
        <v>0</v>
      </c>
      <c r="BH608" s="1405"/>
      <c r="BI608" s="1361">
        <f t="shared" si="3"/>
        <v>0</v>
      </c>
      <c r="BJ608" s="1363"/>
      <c r="BK608" s="1404">
        <f t="shared" si="4"/>
        <v>0</v>
      </c>
      <c r="BL608" s="1405"/>
      <c r="BM608" s="3"/>
      <c r="BN608" s="1401">
        <f t="shared" si="5"/>
        <v>0</v>
      </c>
      <c r="BO608" s="1402"/>
      <c r="BP608" s="1402"/>
      <c r="BQ608" s="1402"/>
      <c r="BR608" s="1403"/>
      <c r="BS608" s="1406">
        <f t="shared" si="6"/>
        <v>0</v>
      </c>
      <c r="BT608" s="1406"/>
      <c r="BU608" s="1406"/>
      <c r="BV608" s="1406"/>
      <c r="BW608" s="1406"/>
      <c r="BX608" s="1406">
        <f t="shared" si="7"/>
        <v>15</v>
      </c>
      <c r="BY608" s="1406"/>
      <c r="BZ608" s="1406"/>
      <c r="CA608" s="1406"/>
      <c r="CB608" s="1406"/>
      <c r="CC608" s="1406">
        <f t="shared" si="8"/>
        <v>0</v>
      </c>
      <c r="CD608" s="1406"/>
      <c r="CE608" s="1406"/>
      <c r="CF608" s="1406"/>
      <c r="CG608" s="1406"/>
      <c r="CH608" s="1406">
        <f t="shared" si="9"/>
        <v>0</v>
      </c>
      <c r="CI608" s="1406"/>
      <c r="CJ608" s="1406"/>
      <c r="CK608" s="1406"/>
      <c r="CL608" s="1406"/>
      <c r="CM608" s="1406">
        <f t="shared" si="10"/>
        <v>0</v>
      </c>
      <c r="CN608" s="1406"/>
      <c r="CO608" s="1406"/>
      <c r="CP608" s="1406"/>
      <c r="CQ608" s="1406"/>
      <c r="CR608" s="6"/>
      <c r="CS608" s="1400">
        <f t="shared" si="11"/>
        <v>0</v>
      </c>
      <c r="CT608" s="1400"/>
      <c r="CU608" s="1400"/>
      <c r="CV608" s="1400"/>
      <c r="CW608" s="1400"/>
      <c r="CX608" s="1400">
        <f t="shared" si="12"/>
        <v>0</v>
      </c>
      <c r="CY608" s="1400"/>
      <c r="CZ608" s="1400"/>
      <c r="DA608" s="1400"/>
      <c r="DB608" s="1400"/>
      <c r="DC608" s="1400">
        <f t="shared" si="13"/>
        <v>0</v>
      </c>
      <c r="DD608" s="1400"/>
      <c r="DE608" s="1400"/>
      <c r="DF608" s="1400"/>
      <c r="DG608" s="1400"/>
      <c r="DH608" s="1400">
        <f t="shared" si="14"/>
        <v>0</v>
      </c>
      <c r="DI608" s="1400"/>
      <c r="DJ608" s="1400"/>
      <c r="DK608" s="1400"/>
      <c r="DL608" s="1400"/>
      <c r="DM608" s="1400">
        <f t="shared" si="15"/>
        <v>0</v>
      </c>
      <c r="DN608" s="1400"/>
      <c r="DO608" s="1400"/>
      <c r="DP608" s="1400"/>
      <c r="DQ608" s="1400"/>
      <c r="DR608" s="1400">
        <f t="shared" si="16"/>
        <v>0</v>
      </c>
      <c r="DS608" s="1400"/>
      <c r="DT608" s="1400"/>
      <c r="DU608" s="1400"/>
      <c r="DV608" s="1400"/>
      <c r="DX608" s="1361" t="str">
        <f t="shared" si="17"/>
        <v/>
      </c>
      <c r="DY608" s="1362"/>
      <c r="DZ608" s="1362"/>
      <c r="EA608" s="1362"/>
      <c r="EB608" s="1363"/>
      <c r="EC608" s="1361" t="str">
        <f t="shared" si="18"/>
        <v/>
      </c>
      <c r="ED608" s="1362"/>
      <c r="EE608" s="1362"/>
      <c r="EF608" s="1362"/>
      <c r="EG608" s="1363"/>
      <c r="EH608" s="1361">
        <f t="shared" si="19"/>
        <v>1997</v>
      </c>
      <c r="EI608" s="1362"/>
      <c r="EJ608" s="1362"/>
      <c r="EK608" s="1362"/>
      <c r="EL608" s="1363"/>
      <c r="EM608" s="1361" t="str">
        <f t="shared" si="20"/>
        <v/>
      </c>
      <c r="EN608" s="1362"/>
      <c r="EO608" s="1362"/>
      <c r="EP608" s="1362"/>
      <c r="EQ608" s="1363"/>
      <c r="ER608" s="1361" t="str">
        <f t="shared" si="21"/>
        <v/>
      </c>
      <c r="ES608" s="1362"/>
      <c r="ET608" s="1362"/>
      <c r="EU608" s="1362"/>
      <c r="EV608" s="1363"/>
      <c r="EW608" s="1361" t="str">
        <f t="shared" si="22"/>
        <v/>
      </c>
      <c r="EX608" s="1362"/>
      <c r="EY608" s="1362"/>
      <c r="EZ608" s="1362"/>
      <c r="FA608" s="1363"/>
    </row>
    <row r="609" spans="1:157" ht="12.9" customHeight="1">
      <c r="A609" s="55" t="s">
        <v>363</v>
      </c>
      <c r="B609" t="s">
        <v>471</v>
      </c>
      <c r="G609" s="1375">
        <f>C564</f>
        <v>0</v>
      </c>
      <c r="H609" s="1375"/>
      <c r="I609" s="1375"/>
      <c r="J609" s="1375"/>
      <c r="K609" s="1375"/>
      <c r="L609" s="1375"/>
      <c r="M609" s="1375"/>
      <c r="N609" s="1375"/>
      <c r="O609" s="1375"/>
      <c r="P609" s="1375"/>
      <c r="Q609" s="1375"/>
      <c r="R609" s="1375"/>
      <c r="T609" s="55" t="s">
        <v>364</v>
      </c>
      <c r="U609" t="s">
        <v>471</v>
      </c>
      <c r="Z609" s="1375">
        <f>C565</f>
        <v>0</v>
      </c>
      <c r="AA609" s="1375"/>
      <c r="AB609" s="1375"/>
      <c r="AC609" s="1375"/>
      <c r="AD609" s="1375"/>
      <c r="AE609" s="1375"/>
      <c r="AF609" s="1375"/>
      <c r="AG609" s="1375"/>
      <c r="AH609" s="1375"/>
      <c r="AI609" s="1375"/>
      <c r="AJ609" s="1375"/>
      <c r="AK609" s="1375"/>
      <c r="AZ609" s="3"/>
      <c r="BA609" s="3"/>
      <c r="BB609" s="3"/>
      <c r="BC609" s="3"/>
      <c r="BD609" s="3"/>
      <c r="BE609" s="1361">
        <f t="shared" si="1"/>
        <v>0</v>
      </c>
      <c r="BF609" s="1363"/>
      <c r="BG609" s="1404">
        <f t="shared" si="2"/>
        <v>0</v>
      </c>
      <c r="BH609" s="1405"/>
      <c r="BI609" s="1361">
        <f t="shared" si="3"/>
        <v>1</v>
      </c>
      <c r="BJ609" s="1363"/>
      <c r="BK609" s="1404">
        <f t="shared" si="4"/>
        <v>2</v>
      </c>
      <c r="BL609" s="1405"/>
      <c r="BM609" s="3"/>
      <c r="BN609" s="1401">
        <f t="shared" si="5"/>
        <v>0</v>
      </c>
      <c r="BO609" s="1402"/>
      <c r="BP609" s="1402"/>
      <c r="BQ609" s="1402"/>
      <c r="BR609" s="1403"/>
      <c r="BS609" s="1406">
        <f t="shared" si="6"/>
        <v>0</v>
      </c>
      <c r="BT609" s="1406"/>
      <c r="BU609" s="1406"/>
      <c r="BV609" s="1406"/>
      <c r="BW609" s="1406"/>
      <c r="BX609" s="1406">
        <f t="shared" si="7"/>
        <v>0</v>
      </c>
      <c r="BY609" s="1406"/>
      <c r="BZ609" s="1406"/>
      <c r="CA609" s="1406"/>
      <c r="CB609" s="1406"/>
      <c r="CC609" s="1406">
        <f t="shared" si="8"/>
        <v>2</v>
      </c>
      <c r="CD609" s="1406"/>
      <c r="CE609" s="1406"/>
      <c r="CF609" s="1406"/>
      <c r="CG609" s="1406"/>
      <c r="CH609" s="1406">
        <f t="shared" si="9"/>
        <v>0</v>
      </c>
      <c r="CI609" s="1406"/>
      <c r="CJ609" s="1406"/>
      <c r="CK609" s="1406"/>
      <c r="CL609" s="1406"/>
      <c r="CM609" s="1406">
        <f t="shared" si="10"/>
        <v>0</v>
      </c>
      <c r="CN609" s="1406"/>
      <c r="CO609" s="1406"/>
      <c r="CP609" s="1406"/>
      <c r="CQ609" s="1406"/>
      <c r="CR609" s="6"/>
      <c r="CS609" s="1400">
        <f t="shared" si="11"/>
        <v>0</v>
      </c>
      <c r="CT609" s="1400"/>
      <c r="CU609" s="1400"/>
      <c r="CV609" s="1400"/>
      <c r="CW609" s="1400"/>
      <c r="CX609" s="1400">
        <f t="shared" si="12"/>
        <v>0</v>
      </c>
      <c r="CY609" s="1400"/>
      <c r="CZ609" s="1400"/>
      <c r="DA609" s="1400"/>
      <c r="DB609" s="1400"/>
      <c r="DC609" s="1400">
        <f t="shared" si="13"/>
        <v>0</v>
      </c>
      <c r="DD609" s="1400"/>
      <c r="DE609" s="1400"/>
      <c r="DF609" s="1400"/>
      <c r="DG609" s="1400"/>
      <c r="DH609" s="1400">
        <f t="shared" si="14"/>
        <v>2</v>
      </c>
      <c r="DI609" s="1400"/>
      <c r="DJ609" s="1400"/>
      <c r="DK609" s="1400"/>
      <c r="DL609" s="1400"/>
      <c r="DM609" s="1400">
        <f t="shared" si="15"/>
        <v>0</v>
      </c>
      <c r="DN609" s="1400"/>
      <c r="DO609" s="1400"/>
      <c r="DP609" s="1400"/>
      <c r="DQ609" s="1400"/>
      <c r="DR609" s="1400">
        <f t="shared" si="16"/>
        <v>0</v>
      </c>
      <c r="DS609" s="1400"/>
      <c r="DT609" s="1400"/>
      <c r="DU609" s="1400"/>
      <c r="DV609" s="1400"/>
      <c r="DX609" s="1361" t="str">
        <f t="shared" si="17"/>
        <v/>
      </c>
      <c r="DY609" s="1362"/>
      <c r="DZ609" s="1362"/>
      <c r="EA609" s="1362"/>
      <c r="EB609" s="1363"/>
      <c r="EC609" s="1361" t="str">
        <f t="shared" si="18"/>
        <v/>
      </c>
      <c r="ED609" s="1362"/>
      <c r="EE609" s="1362"/>
      <c r="EF609" s="1362"/>
      <c r="EG609" s="1363"/>
      <c r="EH609" s="1361" t="str">
        <f t="shared" si="19"/>
        <v/>
      </c>
      <c r="EI609" s="1362"/>
      <c r="EJ609" s="1362"/>
      <c r="EK609" s="1362"/>
      <c r="EL609" s="1363"/>
      <c r="EM609" s="1361">
        <f t="shared" si="20"/>
        <v>913</v>
      </c>
      <c r="EN609" s="1362"/>
      <c r="EO609" s="1362"/>
      <c r="EP609" s="1362"/>
      <c r="EQ609" s="1363"/>
      <c r="ER609" s="1361" t="str">
        <f t="shared" si="21"/>
        <v/>
      </c>
      <c r="ES609" s="1362"/>
      <c r="ET609" s="1362"/>
      <c r="EU609" s="1362"/>
      <c r="EV609" s="1363"/>
      <c r="EW609" s="1361" t="str">
        <f t="shared" si="22"/>
        <v/>
      </c>
      <c r="EX609" s="1362"/>
      <c r="EY609" s="1362"/>
      <c r="EZ609" s="1362"/>
      <c r="FA609" s="1363"/>
    </row>
    <row r="610" spans="1:157" ht="12.9" customHeight="1">
      <c r="B610" t="s">
        <v>85</v>
      </c>
      <c r="G610" s="1364"/>
      <c r="H610" s="1364"/>
      <c r="I610" s="1364"/>
      <c r="J610" s="1364"/>
      <c r="K610" s="1364"/>
      <c r="L610" s="1364"/>
      <c r="M610" s="1364"/>
      <c r="N610" s="1364"/>
      <c r="O610" s="1364"/>
      <c r="P610" s="1364"/>
      <c r="Q610" s="1364"/>
      <c r="R610" s="1364"/>
      <c r="U610" t="s">
        <v>85</v>
      </c>
      <c r="Z610" s="1364"/>
      <c r="AA610" s="1364"/>
      <c r="AB610" s="1364"/>
      <c r="AC610" s="1364"/>
      <c r="AD610" s="1364"/>
      <c r="AE610" s="1364"/>
      <c r="AF610" s="1364"/>
      <c r="AG610" s="1364"/>
      <c r="AH610" s="1364"/>
      <c r="AI610" s="1364"/>
      <c r="AJ610" s="1364"/>
      <c r="AK610" s="1364"/>
      <c r="AZ610" s="3"/>
      <c r="BA610" s="3"/>
      <c r="BB610" s="3"/>
      <c r="BC610" s="3"/>
      <c r="BD610" s="3"/>
      <c r="BE610" s="1361">
        <f t="shared" si="1"/>
        <v>0</v>
      </c>
      <c r="BF610" s="1363"/>
      <c r="BG610" s="1404">
        <f t="shared" si="2"/>
        <v>0</v>
      </c>
      <c r="BH610" s="1405"/>
      <c r="BI610" s="1361">
        <f t="shared" si="3"/>
        <v>1</v>
      </c>
      <c r="BJ610" s="1363"/>
      <c r="BK610" s="1404">
        <f t="shared" si="4"/>
        <v>4</v>
      </c>
      <c r="BL610" s="1405"/>
      <c r="BM610" s="3"/>
      <c r="BN610" s="1401">
        <f t="shared" si="5"/>
        <v>0</v>
      </c>
      <c r="BO610" s="1402"/>
      <c r="BP610" s="1402"/>
      <c r="BQ610" s="1402"/>
      <c r="BR610" s="1403"/>
      <c r="BS610" s="1406">
        <f t="shared" si="6"/>
        <v>0</v>
      </c>
      <c r="BT610" s="1406"/>
      <c r="BU610" s="1406"/>
      <c r="BV610" s="1406"/>
      <c r="BW610" s="1406"/>
      <c r="BX610" s="1406">
        <f t="shared" si="7"/>
        <v>0</v>
      </c>
      <c r="BY610" s="1406"/>
      <c r="BZ610" s="1406"/>
      <c r="CA610" s="1406"/>
      <c r="CB610" s="1406"/>
      <c r="CC610" s="1406">
        <f t="shared" si="8"/>
        <v>4</v>
      </c>
      <c r="CD610" s="1406"/>
      <c r="CE610" s="1406"/>
      <c r="CF610" s="1406"/>
      <c r="CG610" s="1406"/>
      <c r="CH610" s="1406">
        <f t="shared" si="9"/>
        <v>0</v>
      </c>
      <c r="CI610" s="1406"/>
      <c r="CJ610" s="1406"/>
      <c r="CK610" s="1406"/>
      <c r="CL610" s="1406"/>
      <c r="CM610" s="1406">
        <f t="shared" si="10"/>
        <v>0</v>
      </c>
      <c r="CN610" s="1406"/>
      <c r="CO610" s="1406"/>
      <c r="CP610" s="1406"/>
      <c r="CQ610" s="1406"/>
      <c r="CR610" s="6"/>
      <c r="CS610" s="1400">
        <f t="shared" si="11"/>
        <v>0</v>
      </c>
      <c r="CT610" s="1400"/>
      <c r="CU610" s="1400"/>
      <c r="CV610" s="1400"/>
      <c r="CW610" s="1400"/>
      <c r="CX610" s="1400">
        <f t="shared" si="12"/>
        <v>0</v>
      </c>
      <c r="CY610" s="1400"/>
      <c r="CZ610" s="1400"/>
      <c r="DA610" s="1400"/>
      <c r="DB610" s="1400"/>
      <c r="DC610" s="1400">
        <f t="shared" si="13"/>
        <v>0</v>
      </c>
      <c r="DD610" s="1400"/>
      <c r="DE610" s="1400"/>
      <c r="DF610" s="1400"/>
      <c r="DG610" s="1400"/>
      <c r="DH610" s="1400">
        <f t="shared" si="14"/>
        <v>4</v>
      </c>
      <c r="DI610" s="1400"/>
      <c r="DJ610" s="1400"/>
      <c r="DK610" s="1400"/>
      <c r="DL610" s="1400"/>
      <c r="DM610" s="1400">
        <f t="shared" si="15"/>
        <v>0</v>
      </c>
      <c r="DN610" s="1400"/>
      <c r="DO610" s="1400"/>
      <c r="DP610" s="1400"/>
      <c r="DQ610" s="1400"/>
      <c r="DR610" s="1400">
        <f t="shared" si="16"/>
        <v>0</v>
      </c>
      <c r="DS610" s="1400"/>
      <c r="DT610" s="1400"/>
      <c r="DU610" s="1400"/>
      <c r="DV610" s="1400"/>
      <c r="DX610" s="1361" t="str">
        <f t="shared" si="17"/>
        <v/>
      </c>
      <c r="DY610" s="1362"/>
      <c r="DZ610" s="1362"/>
      <c r="EA610" s="1362"/>
      <c r="EB610" s="1363"/>
      <c r="EC610" s="1361" t="str">
        <f t="shared" si="18"/>
        <v/>
      </c>
      <c r="ED610" s="1362"/>
      <c r="EE610" s="1362"/>
      <c r="EF610" s="1362"/>
      <c r="EG610" s="1363"/>
      <c r="EH610" s="1361" t="str">
        <f t="shared" si="19"/>
        <v/>
      </c>
      <c r="EI610" s="1362"/>
      <c r="EJ610" s="1362"/>
      <c r="EK610" s="1362"/>
      <c r="EL610" s="1363"/>
      <c r="EM610" s="1361">
        <f t="shared" si="20"/>
        <v>913</v>
      </c>
      <c r="EN610" s="1362"/>
      <c r="EO610" s="1362"/>
      <c r="EP610" s="1362"/>
      <c r="EQ610" s="1363"/>
      <c r="ER610" s="1361" t="str">
        <f t="shared" si="21"/>
        <v/>
      </c>
      <c r="ES610" s="1362"/>
      <c r="ET610" s="1362"/>
      <c r="EU610" s="1362"/>
      <c r="EV610" s="1363"/>
      <c r="EW610" s="1361" t="str">
        <f t="shared" si="22"/>
        <v/>
      </c>
      <c r="EX610" s="1362"/>
      <c r="EY610" s="1362"/>
      <c r="EZ610" s="1362"/>
      <c r="FA610" s="1363"/>
    </row>
    <row r="611" spans="1:157" ht="12.9" customHeight="1">
      <c r="B611" t="s">
        <v>588</v>
      </c>
      <c r="G611" s="1364"/>
      <c r="H611" s="1364"/>
      <c r="I611" s="1364"/>
      <c r="J611" s="1364"/>
      <c r="K611" s="1364"/>
      <c r="L611" s="1364"/>
      <c r="M611" s="1364"/>
      <c r="N611" s="1364"/>
      <c r="O611" s="1364"/>
      <c r="P611" s="1364"/>
      <c r="Q611" s="1364"/>
      <c r="R611" s="1364"/>
      <c r="U611" t="s">
        <v>588</v>
      </c>
      <c r="Z611" s="1376"/>
      <c r="AA611" s="1376"/>
      <c r="AB611" s="1376"/>
      <c r="AC611" s="1376"/>
      <c r="AD611" s="1376"/>
      <c r="AE611" s="1376"/>
      <c r="AF611" s="1376"/>
      <c r="AG611" s="1376"/>
      <c r="AH611" s="1376"/>
      <c r="AI611" s="1376"/>
      <c r="AJ611" s="1376"/>
      <c r="AK611" s="1376"/>
      <c r="AZ611" s="3"/>
      <c r="BA611" s="3"/>
      <c r="BB611" s="3"/>
      <c r="BC611" s="3"/>
      <c r="BD611" s="3"/>
      <c r="BE611" s="1361">
        <f t="shared" si="1"/>
        <v>1</v>
      </c>
      <c r="BF611" s="1363"/>
      <c r="BG611" s="1404">
        <f t="shared" si="2"/>
        <v>6</v>
      </c>
      <c r="BH611" s="1405"/>
      <c r="BI611" s="1361">
        <f t="shared" si="3"/>
        <v>0</v>
      </c>
      <c r="BJ611" s="1363"/>
      <c r="BK611" s="1404">
        <f t="shared" si="4"/>
        <v>0</v>
      </c>
      <c r="BL611" s="1405"/>
      <c r="BM611" s="3"/>
      <c r="BN611" s="1401">
        <f t="shared" si="5"/>
        <v>0</v>
      </c>
      <c r="BO611" s="1402"/>
      <c r="BP611" s="1402"/>
      <c r="BQ611" s="1402"/>
      <c r="BR611" s="1403"/>
      <c r="BS611" s="1406">
        <f t="shared" si="6"/>
        <v>0</v>
      </c>
      <c r="BT611" s="1406"/>
      <c r="BU611" s="1406"/>
      <c r="BV611" s="1406"/>
      <c r="BW611" s="1406"/>
      <c r="BX611" s="1406">
        <f t="shared" si="7"/>
        <v>0</v>
      </c>
      <c r="BY611" s="1406"/>
      <c r="BZ611" s="1406"/>
      <c r="CA611" s="1406"/>
      <c r="CB611" s="1406"/>
      <c r="CC611" s="1406">
        <f t="shared" si="8"/>
        <v>6</v>
      </c>
      <c r="CD611" s="1406"/>
      <c r="CE611" s="1406"/>
      <c r="CF611" s="1406"/>
      <c r="CG611" s="1406"/>
      <c r="CH611" s="1406">
        <f t="shared" si="9"/>
        <v>0</v>
      </c>
      <c r="CI611" s="1406"/>
      <c r="CJ611" s="1406"/>
      <c r="CK611" s="1406"/>
      <c r="CL611" s="1406"/>
      <c r="CM611" s="1406">
        <f t="shared" si="10"/>
        <v>0</v>
      </c>
      <c r="CN611" s="1406"/>
      <c r="CO611" s="1406"/>
      <c r="CP611" s="1406"/>
      <c r="CQ611" s="1406"/>
      <c r="CR611" s="6"/>
      <c r="CS611" s="1400">
        <f t="shared" si="11"/>
        <v>0</v>
      </c>
      <c r="CT611" s="1400"/>
      <c r="CU611" s="1400"/>
      <c r="CV611" s="1400"/>
      <c r="CW611" s="1400"/>
      <c r="CX611" s="1400">
        <f t="shared" si="12"/>
        <v>0</v>
      </c>
      <c r="CY611" s="1400"/>
      <c r="CZ611" s="1400"/>
      <c r="DA611" s="1400"/>
      <c r="DB611" s="1400"/>
      <c r="DC611" s="1400">
        <f t="shared" si="13"/>
        <v>0</v>
      </c>
      <c r="DD611" s="1400"/>
      <c r="DE611" s="1400"/>
      <c r="DF611" s="1400"/>
      <c r="DG611" s="1400"/>
      <c r="DH611" s="1400">
        <f t="shared" si="14"/>
        <v>0</v>
      </c>
      <c r="DI611" s="1400"/>
      <c r="DJ611" s="1400"/>
      <c r="DK611" s="1400"/>
      <c r="DL611" s="1400"/>
      <c r="DM611" s="1400">
        <f t="shared" si="15"/>
        <v>0</v>
      </c>
      <c r="DN611" s="1400"/>
      <c r="DO611" s="1400"/>
      <c r="DP611" s="1400"/>
      <c r="DQ611" s="1400"/>
      <c r="DR611" s="1400">
        <f t="shared" si="16"/>
        <v>0</v>
      </c>
      <c r="DS611" s="1400"/>
      <c r="DT611" s="1400"/>
      <c r="DU611" s="1400"/>
      <c r="DV611" s="1400"/>
      <c r="DX611" s="1361" t="str">
        <f t="shared" si="17"/>
        <v/>
      </c>
      <c r="DY611" s="1362"/>
      <c r="DZ611" s="1362"/>
      <c r="EA611" s="1362"/>
      <c r="EB611" s="1363"/>
      <c r="EC611" s="1361" t="str">
        <f t="shared" si="18"/>
        <v/>
      </c>
      <c r="ED611" s="1362"/>
      <c r="EE611" s="1362"/>
      <c r="EF611" s="1362"/>
      <c r="EG611" s="1363"/>
      <c r="EH611" s="1361" t="str">
        <f t="shared" si="19"/>
        <v/>
      </c>
      <c r="EI611" s="1362"/>
      <c r="EJ611" s="1362"/>
      <c r="EK611" s="1362"/>
      <c r="EL611" s="1363"/>
      <c r="EM611" s="1361">
        <f t="shared" si="20"/>
        <v>1258</v>
      </c>
      <c r="EN611" s="1362"/>
      <c r="EO611" s="1362"/>
      <c r="EP611" s="1362"/>
      <c r="EQ611" s="1363"/>
      <c r="ER611" s="1361" t="str">
        <f t="shared" si="21"/>
        <v/>
      </c>
      <c r="ES611" s="1362"/>
      <c r="ET611" s="1362"/>
      <c r="EU611" s="1362"/>
      <c r="EV611" s="1363"/>
      <c r="EW611" s="1361" t="str">
        <f t="shared" si="22"/>
        <v/>
      </c>
      <c r="EX611" s="1362"/>
      <c r="EY611" s="1362"/>
      <c r="EZ611" s="1362"/>
      <c r="FA611" s="1363"/>
    </row>
    <row r="612" spans="1:157" ht="12.9" customHeight="1">
      <c r="B612" t="s">
        <v>17</v>
      </c>
      <c r="G612" s="1364"/>
      <c r="H612" s="1364"/>
      <c r="I612" s="1364"/>
      <c r="J612" s="1364"/>
      <c r="K612" s="1364"/>
      <c r="L612" s="1364"/>
      <c r="M612" s="1364"/>
      <c r="N612" s="1364"/>
      <c r="O612" s="1364"/>
      <c r="P612" s="1364"/>
      <c r="Q612" s="1364"/>
      <c r="R612" s="1364"/>
      <c r="U612" t="s">
        <v>17</v>
      </c>
      <c r="Z612" s="1376"/>
      <c r="AA612" s="1376"/>
      <c r="AB612" s="1376"/>
      <c r="AC612" s="1376"/>
      <c r="AD612" s="1376"/>
      <c r="AE612" s="1376"/>
      <c r="AF612" s="1376"/>
      <c r="AG612" s="1376"/>
      <c r="AH612" s="1376"/>
      <c r="AI612" s="1376"/>
      <c r="AJ612" s="1376"/>
      <c r="AK612" s="1376"/>
      <c r="AZ612" s="3"/>
      <c r="BA612" s="3"/>
      <c r="BB612" s="3"/>
      <c r="BC612" s="3"/>
      <c r="BD612" s="3"/>
      <c r="BE612" s="1361">
        <f t="shared" si="1"/>
        <v>1</v>
      </c>
      <c r="BF612" s="1363"/>
      <c r="BG612" s="1404">
        <f t="shared" si="2"/>
        <v>6</v>
      </c>
      <c r="BH612" s="1405"/>
      <c r="BI612" s="1361">
        <f t="shared" si="3"/>
        <v>0</v>
      </c>
      <c r="BJ612" s="1363"/>
      <c r="BK612" s="1404">
        <f t="shared" si="4"/>
        <v>0</v>
      </c>
      <c r="BL612" s="1405"/>
      <c r="BM612" s="3"/>
      <c r="BN612" s="1401">
        <f t="shared" si="5"/>
        <v>0</v>
      </c>
      <c r="BO612" s="1402"/>
      <c r="BP612" s="1402"/>
      <c r="BQ612" s="1402"/>
      <c r="BR612" s="1403"/>
      <c r="BS612" s="1406">
        <f t="shared" si="6"/>
        <v>0</v>
      </c>
      <c r="BT612" s="1406"/>
      <c r="BU612" s="1406"/>
      <c r="BV612" s="1406"/>
      <c r="BW612" s="1406"/>
      <c r="BX612" s="1406">
        <f t="shared" si="7"/>
        <v>0</v>
      </c>
      <c r="BY612" s="1406"/>
      <c r="BZ612" s="1406"/>
      <c r="CA612" s="1406"/>
      <c r="CB612" s="1406"/>
      <c r="CC612" s="1406">
        <f t="shared" si="8"/>
        <v>6</v>
      </c>
      <c r="CD612" s="1406"/>
      <c r="CE612" s="1406"/>
      <c r="CF612" s="1406"/>
      <c r="CG612" s="1406"/>
      <c r="CH612" s="1406">
        <f t="shared" si="9"/>
        <v>0</v>
      </c>
      <c r="CI612" s="1406"/>
      <c r="CJ612" s="1406"/>
      <c r="CK612" s="1406"/>
      <c r="CL612" s="1406"/>
      <c r="CM612" s="1406">
        <f t="shared" si="10"/>
        <v>0</v>
      </c>
      <c r="CN612" s="1406"/>
      <c r="CO612" s="1406"/>
      <c r="CP612" s="1406"/>
      <c r="CQ612" s="1406"/>
      <c r="CR612" s="6"/>
      <c r="CS612" s="1400">
        <f t="shared" si="11"/>
        <v>0</v>
      </c>
      <c r="CT612" s="1400"/>
      <c r="CU612" s="1400"/>
      <c r="CV612" s="1400"/>
      <c r="CW612" s="1400"/>
      <c r="CX612" s="1400">
        <f t="shared" si="12"/>
        <v>0</v>
      </c>
      <c r="CY612" s="1400"/>
      <c r="CZ612" s="1400"/>
      <c r="DA612" s="1400"/>
      <c r="DB612" s="1400"/>
      <c r="DC612" s="1400">
        <f t="shared" si="13"/>
        <v>0</v>
      </c>
      <c r="DD612" s="1400"/>
      <c r="DE612" s="1400"/>
      <c r="DF612" s="1400"/>
      <c r="DG612" s="1400"/>
      <c r="DH612" s="1400">
        <f t="shared" si="14"/>
        <v>0</v>
      </c>
      <c r="DI612" s="1400"/>
      <c r="DJ612" s="1400"/>
      <c r="DK612" s="1400"/>
      <c r="DL612" s="1400"/>
      <c r="DM612" s="1400">
        <f t="shared" si="15"/>
        <v>0</v>
      </c>
      <c r="DN612" s="1400"/>
      <c r="DO612" s="1400"/>
      <c r="DP612" s="1400"/>
      <c r="DQ612" s="1400"/>
      <c r="DR612" s="1400">
        <f t="shared" si="16"/>
        <v>0</v>
      </c>
      <c r="DS612" s="1400"/>
      <c r="DT612" s="1400"/>
      <c r="DU612" s="1400"/>
      <c r="DV612" s="1400"/>
      <c r="DX612" s="1361" t="str">
        <f t="shared" si="17"/>
        <v/>
      </c>
      <c r="DY612" s="1362"/>
      <c r="DZ612" s="1362"/>
      <c r="EA612" s="1362"/>
      <c r="EB612" s="1363"/>
      <c r="EC612" s="1361" t="str">
        <f t="shared" si="18"/>
        <v/>
      </c>
      <c r="ED612" s="1362"/>
      <c r="EE612" s="1362"/>
      <c r="EF612" s="1362"/>
      <c r="EG612" s="1363"/>
      <c r="EH612" s="1361" t="str">
        <f t="shared" si="19"/>
        <v/>
      </c>
      <c r="EI612" s="1362"/>
      <c r="EJ612" s="1362"/>
      <c r="EK612" s="1362"/>
      <c r="EL612" s="1363"/>
      <c r="EM612" s="1361">
        <f t="shared" si="20"/>
        <v>1603</v>
      </c>
      <c r="EN612" s="1362"/>
      <c r="EO612" s="1362"/>
      <c r="EP612" s="1362"/>
      <c r="EQ612" s="1363"/>
      <c r="ER612" s="1361" t="str">
        <f t="shared" si="21"/>
        <v/>
      </c>
      <c r="ES612" s="1362"/>
      <c r="ET612" s="1362"/>
      <c r="EU612" s="1362"/>
      <c r="EV612" s="1363"/>
      <c r="EW612" s="1361" t="str">
        <f t="shared" si="22"/>
        <v/>
      </c>
      <c r="EX612" s="1362"/>
      <c r="EY612" s="1362"/>
      <c r="EZ612" s="1362"/>
      <c r="FA612" s="1363"/>
    </row>
    <row r="613" spans="1:157" ht="12.9" customHeight="1">
      <c r="B613" t="s">
        <v>317</v>
      </c>
      <c r="G613" s="1396"/>
      <c r="H613" s="1396"/>
      <c r="I613" s="1396"/>
      <c r="J613" s="1396"/>
      <c r="K613" s="1396"/>
      <c r="L613" s="1396"/>
      <c r="O613" s="33" t="s">
        <v>207</v>
      </c>
      <c r="P613" s="1377"/>
      <c r="Q613" s="1377"/>
      <c r="R613" s="1377"/>
      <c r="U613" t="s">
        <v>317</v>
      </c>
      <c r="Z613" s="1396"/>
      <c r="AA613" s="1396"/>
      <c r="AB613" s="1396"/>
      <c r="AC613" s="1396"/>
      <c r="AD613" s="1396"/>
      <c r="AE613" s="1396"/>
      <c r="AH613" s="33" t="s">
        <v>207</v>
      </c>
      <c r="AI613" s="1377"/>
      <c r="AJ613" s="1377"/>
      <c r="AK613" s="1377"/>
      <c r="AZ613" s="3"/>
      <c r="BA613" s="3"/>
      <c r="BB613" s="3"/>
      <c r="BC613" s="3"/>
      <c r="BD613" s="3"/>
      <c r="BE613" s="1361">
        <f t="shared" si="1"/>
        <v>0</v>
      </c>
      <c r="BF613" s="1363"/>
      <c r="BG613" s="1404">
        <f t="shared" si="2"/>
        <v>0</v>
      </c>
      <c r="BH613" s="1405"/>
      <c r="BI613" s="1361">
        <f t="shared" si="3"/>
        <v>0</v>
      </c>
      <c r="BJ613" s="1363"/>
      <c r="BK613" s="1404">
        <f t="shared" si="4"/>
        <v>0</v>
      </c>
      <c r="BL613" s="1405"/>
      <c r="BM613" s="3"/>
      <c r="BN613" s="1401">
        <f t="shared" si="5"/>
        <v>0</v>
      </c>
      <c r="BO613" s="1402"/>
      <c r="BP613" s="1402"/>
      <c r="BQ613" s="1402"/>
      <c r="BR613" s="1403"/>
      <c r="BS613" s="1406">
        <f t="shared" si="6"/>
        <v>0</v>
      </c>
      <c r="BT613" s="1406"/>
      <c r="BU613" s="1406"/>
      <c r="BV613" s="1406"/>
      <c r="BW613" s="1406"/>
      <c r="BX613" s="1406">
        <f t="shared" si="7"/>
        <v>0</v>
      </c>
      <c r="BY613" s="1406"/>
      <c r="BZ613" s="1406"/>
      <c r="CA613" s="1406"/>
      <c r="CB613" s="1406"/>
      <c r="CC613" s="1406">
        <f t="shared" si="8"/>
        <v>6</v>
      </c>
      <c r="CD613" s="1406"/>
      <c r="CE613" s="1406"/>
      <c r="CF613" s="1406"/>
      <c r="CG613" s="1406"/>
      <c r="CH613" s="1406">
        <f t="shared" si="9"/>
        <v>0</v>
      </c>
      <c r="CI613" s="1406"/>
      <c r="CJ613" s="1406"/>
      <c r="CK613" s="1406"/>
      <c r="CL613" s="1406"/>
      <c r="CM613" s="1406">
        <f t="shared" si="10"/>
        <v>0</v>
      </c>
      <c r="CN613" s="1406"/>
      <c r="CO613" s="1406"/>
      <c r="CP613" s="1406"/>
      <c r="CQ613" s="1406"/>
      <c r="CR613" s="6"/>
      <c r="CS613" s="1400">
        <f t="shared" si="11"/>
        <v>0</v>
      </c>
      <c r="CT613" s="1400"/>
      <c r="CU613" s="1400"/>
      <c r="CV613" s="1400"/>
      <c r="CW613" s="1400"/>
      <c r="CX613" s="1400">
        <f t="shared" si="12"/>
        <v>0</v>
      </c>
      <c r="CY613" s="1400"/>
      <c r="CZ613" s="1400"/>
      <c r="DA613" s="1400"/>
      <c r="DB613" s="1400"/>
      <c r="DC613" s="1400">
        <f t="shared" si="13"/>
        <v>0</v>
      </c>
      <c r="DD613" s="1400"/>
      <c r="DE613" s="1400"/>
      <c r="DF613" s="1400"/>
      <c r="DG613" s="1400"/>
      <c r="DH613" s="1400">
        <f t="shared" si="14"/>
        <v>0</v>
      </c>
      <c r="DI613" s="1400"/>
      <c r="DJ613" s="1400"/>
      <c r="DK613" s="1400"/>
      <c r="DL613" s="1400"/>
      <c r="DM613" s="1400">
        <f t="shared" si="15"/>
        <v>0</v>
      </c>
      <c r="DN613" s="1400"/>
      <c r="DO613" s="1400"/>
      <c r="DP613" s="1400"/>
      <c r="DQ613" s="1400"/>
      <c r="DR613" s="1400">
        <f t="shared" si="16"/>
        <v>0</v>
      </c>
      <c r="DS613" s="1400"/>
      <c r="DT613" s="1400"/>
      <c r="DU613" s="1400"/>
      <c r="DV613" s="1400"/>
      <c r="DX613" s="1361" t="str">
        <f t="shared" si="17"/>
        <v/>
      </c>
      <c r="DY613" s="1362"/>
      <c r="DZ613" s="1362"/>
      <c r="EA613" s="1362"/>
      <c r="EB613" s="1363"/>
      <c r="EC613" s="1361" t="str">
        <f t="shared" si="18"/>
        <v/>
      </c>
      <c r="ED613" s="1362"/>
      <c r="EE613" s="1362"/>
      <c r="EF613" s="1362"/>
      <c r="EG613" s="1363"/>
      <c r="EH613" s="1361" t="str">
        <f t="shared" si="19"/>
        <v/>
      </c>
      <c r="EI613" s="1362"/>
      <c r="EJ613" s="1362"/>
      <c r="EK613" s="1362"/>
      <c r="EL613" s="1363"/>
      <c r="EM613" s="1361">
        <f t="shared" si="20"/>
        <v>1949</v>
      </c>
      <c r="EN613" s="1362"/>
      <c r="EO613" s="1362"/>
      <c r="EP613" s="1362"/>
      <c r="EQ613" s="1363"/>
      <c r="ER613" s="1361" t="str">
        <f t="shared" si="21"/>
        <v/>
      </c>
      <c r="ES613" s="1362"/>
      <c r="ET613" s="1362"/>
      <c r="EU613" s="1362"/>
      <c r="EV613" s="1363"/>
      <c r="EW613" s="1361" t="str">
        <f t="shared" si="22"/>
        <v/>
      </c>
      <c r="EX613" s="1362"/>
      <c r="EY613" s="1362"/>
      <c r="EZ613" s="1362"/>
      <c r="FA613" s="1363"/>
    </row>
    <row r="614" spans="1:157" ht="12.9" customHeight="1">
      <c r="B614" t="s">
        <v>18</v>
      </c>
      <c r="H614" s="1364"/>
      <c r="I614" s="1364"/>
      <c r="J614" s="1364"/>
      <c r="K614" s="1364"/>
      <c r="L614" s="1364"/>
      <c r="M614" s="1364"/>
      <c r="N614" s="1364"/>
      <c r="O614" s="1364"/>
      <c r="P614" s="1364"/>
      <c r="Q614" s="1364"/>
      <c r="R614" s="1364"/>
      <c r="U614" t="s">
        <v>18</v>
      </c>
      <c r="AA614" s="1364"/>
      <c r="AB614" s="1364"/>
      <c r="AC614" s="1364"/>
      <c r="AD614" s="1364"/>
      <c r="AE614" s="1364"/>
      <c r="AF614" s="1364"/>
      <c r="AG614" s="1364"/>
      <c r="AH614" s="1364"/>
      <c r="AI614" s="1364"/>
      <c r="AJ614" s="1364"/>
      <c r="AK614" s="1364"/>
      <c r="AU614" s="934"/>
      <c r="AV614" s="934"/>
      <c r="AW614" s="934"/>
      <c r="AX614" s="934"/>
      <c r="AY614" s="934"/>
      <c r="AZ614" s="3"/>
      <c r="BA614" s="3"/>
      <c r="BB614" s="3"/>
      <c r="BC614" s="3"/>
      <c r="BD614" s="3"/>
      <c r="BE614" s="1361">
        <f t="shared" si="1"/>
        <v>0</v>
      </c>
      <c r="BF614" s="1363"/>
      <c r="BG614" s="1404">
        <f t="shared" si="2"/>
        <v>0</v>
      </c>
      <c r="BH614" s="1405"/>
      <c r="BI614" s="1361">
        <f t="shared" si="3"/>
        <v>0</v>
      </c>
      <c r="BJ614" s="1363"/>
      <c r="BK614" s="1404">
        <f t="shared" si="4"/>
        <v>0</v>
      </c>
      <c r="BL614" s="1405"/>
      <c r="BM614" s="3"/>
      <c r="BN614" s="1401">
        <f t="shared" si="5"/>
        <v>0</v>
      </c>
      <c r="BO614" s="1402"/>
      <c r="BP614" s="1402"/>
      <c r="BQ614" s="1402"/>
      <c r="BR614" s="1403"/>
      <c r="BS614" s="1406">
        <f t="shared" si="6"/>
        <v>0</v>
      </c>
      <c r="BT614" s="1406"/>
      <c r="BU614" s="1406"/>
      <c r="BV614" s="1406"/>
      <c r="BW614" s="1406"/>
      <c r="BX614" s="1406">
        <f t="shared" si="7"/>
        <v>0</v>
      </c>
      <c r="BY614" s="1406"/>
      <c r="BZ614" s="1406"/>
      <c r="CA614" s="1406"/>
      <c r="CB614" s="1406"/>
      <c r="CC614" s="1406">
        <f t="shared" si="8"/>
        <v>31</v>
      </c>
      <c r="CD614" s="1406"/>
      <c r="CE614" s="1406"/>
      <c r="CF614" s="1406"/>
      <c r="CG614" s="1406"/>
      <c r="CH614" s="1406">
        <f t="shared" si="9"/>
        <v>0</v>
      </c>
      <c r="CI614" s="1406"/>
      <c r="CJ614" s="1406"/>
      <c r="CK614" s="1406"/>
      <c r="CL614" s="1406"/>
      <c r="CM614" s="1406">
        <f t="shared" si="10"/>
        <v>0</v>
      </c>
      <c r="CN614" s="1406"/>
      <c r="CO614" s="1406"/>
      <c r="CP614" s="1406"/>
      <c r="CQ614" s="1406"/>
      <c r="CR614" s="6"/>
      <c r="CS614" s="1400">
        <f t="shared" si="11"/>
        <v>0</v>
      </c>
      <c r="CT614" s="1400"/>
      <c r="CU614" s="1400"/>
      <c r="CV614" s="1400"/>
      <c r="CW614" s="1400"/>
      <c r="CX614" s="1400">
        <f t="shared" si="12"/>
        <v>0</v>
      </c>
      <c r="CY614" s="1400"/>
      <c r="CZ614" s="1400"/>
      <c r="DA614" s="1400"/>
      <c r="DB614" s="1400"/>
      <c r="DC614" s="1400">
        <f t="shared" si="13"/>
        <v>0</v>
      </c>
      <c r="DD614" s="1400"/>
      <c r="DE614" s="1400"/>
      <c r="DF614" s="1400"/>
      <c r="DG614" s="1400"/>
      <c r="DH614" s="1400">
        <f t="shared" si="14"/>
        <v>0</v>
      </c>
      <c r="DI614" s="1400"/>
      <c r="DJ614" s="1400"/>
      <c r="DK614" s="1400"/>
      <c r="DL614" s="1400"/>
      <c r="DM614" s="1400">
        <f t="shared" si="15"/>
        <v>0</v>
      </c>
      <c r="DN614" s="1400"/>
      <c r="DO614" s="1400"/>
      <c r="DP614" s="1400"/>
      <c r="DQ614" s="1400"/>
      <c r="DR614" s="1400">
        <f t="shared" si="16"/>
        <v>0</v>
      </c>
      <c r="DS614" s="1400"/>
      <c r="DT614" s="1400"/>
      <c r="DU614" s="1400"/>
      <c r="DV614" s="1400"/>
      <c r="DX614" s="1361" t="str">
        <f t="shared" si="17"/>
        <v/>
      </c>
      <c r="DY614" s="1362"/>
      <c r="DZ614" s="1362"/>
      <c r="EA614" s="1362"/>
      <c r="EB614" s="1363"/>
      <c r="EC614" s="1361" t="str">
        <f t="shared" si="18"/>
        <v/>
      </c>
      <c r="ED614" s="1362"/>
      <c r="EE614" s="1362"/>
      <c r="EF614" s="1362"/>
      <c r="EG614" s="1363"/>
      <c r="EH614" s="1361" t="str">
        <f t="shared" si="19"/>
        <v/>
      </c>
      <c r="EI614" s="1362"/>
      <c r="EJ614" s="1362"/>
      <c r="EK614" s="1362"/>
      <c r="EL614" s="1363"/>
      <c r="EM614" s="1361">
        <f t="shared" si="20"/>
        <v>2294</v>
      </c>
      <c r="EN614" s="1362"/>
      <c r="EO614" s="1362"/>
      <c r="EP614" s="1362"/>
      <c r="EQ614" s="1363"/>
      <c r="ER614" s="1361" t="str">
        <f t="shared" si="21"/>
        <v/>
      </c>
      <c r="ES614" s="1362"/>
      <c r="ET614" s="1362"/>
      <c r="EU614" s="1362"/>
      <c r="EV614" s="1363"/>
      <c r="EW614" s="1361" t="str">
        <f t="shared" si="22"/>
        <v/>
      </c>
      <c r="EX614" s="1362"/>
      <c r="EY614" s="1362"/>
      <c r="EZ614" s="1362"/>
      <c r="FA614" s="1363"/>
    </row>
    <row r="615" spans="1:157" ht="12.9" customHeight="1">
      <c r="B615" t="s">
        <v>20</v>
      </c>
      <c r="N615" s="1374" t="s">
        <v>677</v>
      </c>
      <c r="O615" s="1374"/>
      <c r="U615" t="s">
        <v>20</v>
      </c>
      <c r="AG615" s="1374" t="s">
        <v>677</v>
      </c>
      <c r="AH615" s="1374"/>
      <c r="AU615" s="934"/>
      <c r="AV615" s="934"/>
      <c r="AW615" s="934"/>
      <c r="AX615" s="934"/>
      <c r="AY615" s="934"/>
      <c r="AZ615" s="3"/>
      <c r="BA615" s="3"/>
      <c r="BB615" s="3"/>
      <c r="BC615" s="3"/>
      <c r="BD615" s="3"/>
      <c r="BE615" s="1361">
        <f t="shared" si="1"/>
        <v>0</v>
      </c>
      <c r="BF615" s="1363"/>
      <c r="BG615" s="1404">
        <f t="shared" si="2"/>
        <v>0</v>
      </c>
      <c r="BH615" s="1405"/>
      <c r="BI615" s="1361">
        <f t="shared" si="3"/>
        <v>1</v>
      </c>
      <c r="BJ615" s="1363"/>
      <c r="BK615" s="1404">
        <f t="shared" si="4"/>
        <v>2</v>
      </c>
      <c r="BL615" s="1405"/>
      <c r="BM615" s="3"/>
      <c r="BN615" s="1401">
        <f t="shared" si="5"/>
        <v>0</v>
      </c>
      <c r="BO615" s="1402"/>
      <c r="BP615" s="1402"/>
      <c r="BQ615" s="1402"/>
      <c r="BR615" s="1403"/>
      <c r="BS615" s="1406">
        <f t="shared" si="6"/>
        <v>0</v>
      </c>
      <c r="BT615" s="1406"/>
      <c r="BU615" s="1406"/>
      <c r="BV615" s="1406"/>
      <c r="BW615" s="1406"/>
      <c r="BX615" s="1406">
        <f t="shared" si="7"/>
        <v>0</v>
      </c>
      <c r="BY615" s="1406"/>
      <c r="BZ615" s="1406"/>
      <c r="CA615" s="1406"/>
      <c r="CB615" s="1406"/>
      <c r="CC615" s="1406">
        <f t="shared" si="8"/>
        <v>0</v>
      </c>
      <c r="CD615" s="1406"/>
      <c r="CE615" s="1406"/>
      <c r="CF615" s="1406"/>
      <c r="CG615" s="1406"/>
      <c r="CH615" s="1406">
        <f t="shared" si="9"/>
        <v>2</v>
      </c>
      <c r="CI615" s="1406"/>
      <c r="CJ615" s="1406"/>
      <c r="CK615" s="1406"/>
      <c r="CL615" s="1406"/>
      <c r="CM615" s="1406">
        <f t="shared" si="10"/>
        <v>0</v>
      </c>
      <c r="CN615" s="1406"/>
      <c r="CO615" s="1406"/>
      <c r="CP615" s="1406"/>
      <c r="CQ615" s="1406"/>
      <c r="CR615" s="6"/>
      <c r="CS615" s="1400">
        <f t="shared" si="11"/>
        <v>0</v>
      </c>
      <c r="CT615" s="1400"/>
      <c r="CU615" s="1400"/>
      <c r="CV615" s="1400"/>
      <c r="CW615" s="1400"/>
      <c r="CX615" s="1400">
        <f t="shared" si="12"/>
        <v>0</v>
      </c>
      <c r="CY615" s="1400"/>
      <c r="CZ615" s="1400"/>
      <c r="DA615" s="1400"/>
      <c r="DB615" s="1400"/>
      <c r="DC615" s="1400">
        <f t="shared" si="13"/>
        <v>0</v>
      </c>
      <c r="DD615" s="1400"/>
      <c r="DE615" s="1400"/>
      <c r="DF615" s="1400"/>
      <c r="DG615" s="1400"/>
      <c r="DH615" s="1400">
        <f t="shared" si="14"/>
        <v>0</v>
      </c>
      <c r="DI615" s="1400"/>
      <c r="DJ615" s="1400"/>
      <c r="DK615" s="1400"/>
      <c r="DL615" s="1400"/>
      <c r="DM615" s="1400">
        <f t="shared" si="15"/>
        <v>2</v>
      </c>
      <c r="DN615" s="1400"/>
      <c r="DO615" s="1400"/>
      <c r="DP615" s="1400"/>
      <c r="DQ615" s="1400"/>
      <c r="DR615" s="1400">
        <f t="shared" si="16"/>
        <v>0</v>
      </c>
      <c r="DS615" s="1400"/>
      <c r="DT615" s="1400"/>
      <c r="DU615" s="1400"/>
      <c r="DV615" s="1400"/>
      <c r="DX615" s="1361" t="str">
        <f t="shared" si="17"/>
        <v/>
      </c>
      <c r="DY615" s="1362"/>
      <c r="DZ615" s="1362"/>
      <c r="EA615" s="1362"/>
      <c r="EB615" s="1363"/>
      <c r="EC615" s="1361" t="str">
        <f t="shared" si="18"/>
        <v/>
      </c>
      <c r="ED615" s="1362"/>
      <c r="EE615" s="1362"/>
      <c r="EF615" s="1362"/>
      <c r="EG615" s="1363"/>
      <c r="EH615" s="1361" t="str">
        <f t="shared" si="19"/>
        <v/>
      </c>
      <c r="EI615" s="1362"/>
      <c r="EJ615" s="1362"/>
      <c r="EK615" s="1362"/>
      <c r="EL615" s="1363"/>
      <c r="EM615" s="1361" t="str">
        <f t="shared" si="20"/>
        <v/>
      </c>
      <c r="EN615" s="1362"/>
      <c r="EO615" s="1362"/>
      <c r="EP615" s="1362"/>
      <c r="EQ615" s="1363"/>
      <c r="ER615" s="1361">
        <f t="shared" si="21"/>
        <v>1004</v>
      </c>
      <c r="ES615" s="1362"/>
      <c r="ET615" s="1362"/>
      <c r="EU615" s="1362"/>
      <c r="EV615" s="1363"/>
      <c r="EW615" s="1361" t="str">
        <f t="shared" si="22"/>
        <v/>
      </c>
      <c r="EX615" s="1362"/>
      <c r="EY615" s="1362"/>
      <c r="EZ615" s="1362"/>
      <c r="FA615" s="1363"/>
    </row>
    <row r="616" spans="1:157" ht="12.9" customHeight="1">
      <c r="AZ616" s="3"/>
      <c r="BA616" s="3"/>
      <c r="BB616" s="3"/>
      <c r="BC616" s="3"/>
      <c r="BD616" s="3"/>
      <c r="BE616" s="1361">
        <f t="shared" si="1"/>
        <v>1</v>
      </c>
      <c r="BF616" s="1363"/>
      <c r="BG616" s="1404">
        <f t="shared" si="2"/>
        <v>2</v>
      </c>
      <c r="BH616" s="1405"/>
      <c r="BI616" s="1361">
        <f t="shared" si="3"/>
        <v>0</v>
      </c>
      <c r="BJ616" s="1363"/>
      <c r="BK616" s="1404">
        <f t="shared" si="4"/>
        <v>0</v>
      </c>
      <c r="BL616" s="1405"/>
      <c r="BM616" s="3"/>
      <c r="BN616" s="1401">
        <f t="shared" si="5"/>
        <v>0</v>
      </c>
      <c r="BO616" s="1402"/>
      <c r="BP616" s="1402"/>
      <c r="BQ616" s="1402"/>
      <c r="BR616" s="1403"/>
      <c r="BS616" s="1406">
        <f t="shared" si="6"/>
        <v>0</v>
      </c>
      <c r="BT616" s="1406"/>
      <c r="BU616" s="1406"/>
      <c r="BV616" s="1406"/>
      <c r="BW616" s="1406"/>
      <c r="BX616" s="1406">
        <f t="shared" si="7"/>
        <v>0</v>
      </c>
      <c r="BY616" s="1406"/>
      <c r="BZ616" s="1406"/>
      <c r="CA616" s="1406"/>
      <c r="CB616" s="1406"/>
      <c r="CC616" s="1406">
        <f t="shared" si="8"/>
        <v>0</v>
      </c>
      <c r="CD616" s="1406"/>
      <c r="CE616" s="1406"/>
      <c r="CF616" s="1406"/>
      <c r="CG616" s="1406"/>
      <c r="CH616" s="1406">
        <f t="shared" si="9"/>
        <v>2</v>
      </c>
      <c r="CI616" s="1406"/>
      <c r="CJ616" s="1406"/>
      <c r="CK616" s="1406"/>
      <c r="CL616" s="1406"/>
      <c r="CM616" s="1406">
        <f t="shared" si="10"/>
        <v>0</v>
      </c>
      <c r="CN616" s="1406"/>
      <c r="CO616" s="1406"/>
      <c r="CP616" s="1406"/>
      <c r="CQ616" s="1406"/>
      <c r="CR616" s="6"/>
      <c r="CS616" s="1400">
        <f t="shared" si="11"/>
        <v>0</v>
      </c>
      <c r="CT616" s="1400"/>
      <c r="CU616" s="1400"/>
      <c r="CV616" s="1400"/>
      <c r="CW616" s="1400"/>
      <c r="CX616" s="1400">
        <f t="shared" si="12"/>
        <v>0</v>
      </c>
      <c r="CY616" s="1400"/>
      <c r="CZ616" s="1400"/>
      <c r="DA616" s="1400"/>
      <c r="DB616" s="1400"/>
      <c r="DC616" s="1400">
        <f t="shared" si="13"/>
        <v>0</v>
      </c>
      <c r="DD616" s="1400"/>
      <c r="DE616" s="1400"/>
      <c r="DF616" s="1400"/>
      <c r="DG616" s="1400"/>
      <c r="DH616" s="1400">
        <f t="shared" si="14"/>
        <v>0</v>
      </c>
      <c r="DI616" s="1400"/>
      <c r="DJ616" s="1400"/>
      <c r="DK616" s="1400"/>
      <c r="DL616" s="1400"/>
      <c r="DM616" s="1400">
        <f t="shared" si="15"/>
        <v>0</v>
      </c>
      <c r="DN616" s="1400"/>
      <c r="DO616" s="1400"/>
      <c r="DP616" s="1400"/>
      <c r="DQ616" s="1400"/>
      <c r="DR616" s="1400">
        <f t="shared" si="16"/>
        <v>0</v>
      </c>
      <c r="DS616" s="1400"/>
      <c r="DT616" s="1400"/>
      <c r="DU616" s="1400"/>
      <c r="DV616" s="1400"/>
      <c r="DX616" s="1361" t="str">
        <f t="shared" si="17"/>
        <v/>
      </c>
      <c r="DY616" s="1362"/>
      <c r="DZ616" s="1362"/>
      <c r="EA616" s="1362"/>
      <c r="EB616" s="1363"/>
      <c r="EC616" s="1361" t="str">
        <f t="shared" si="18"/>
        <v/>
      </c>
      <c r="ED616" s="1362"/>
      <c r="EE616" s="1362"/>
      <c r="EF616" s="1362"/>
      <c r="EG616" s="1363"/>
      <c r="EH616" s="1361" t="str">
        <f t="shared" si="19"/>
        <v/>
      </c>
      <c r="EI616" s="1362"/>
      <c r="EJ616" s="1362"/>
      <c r="EK616" s="1362"/>
      <c r="EL616" s="1363"/>
      <c r="EM616" s="1361" t="str">
        <f t="shared" si="20"/>
        <v/>
      </c>
      <c r="EN616" s="1362"/>
      <c r="EO616" s="1362"/>
      <c r="EP616" s="1362"/>
      <c r="EQ616" s="1363"/>
      <c r="ER616" s="1361">
        <f t="shared" si="21"/>
        <v>1390</v>
      </c>
      <c r="ES616" s="1362"/>
      <c r="ET616" s="1362"/>
      <c r="EU616" s="1362"/>
      <c r="EV616" s="1363"/>
      <c r="EW616" s="1361" t="str">
        <f t="shared" si="22"/>
        <v/>
      </c>
      <c r="EX616" s="1362"/>
      <c r="EY616" s="1362"/>
      <c r="EZ616" s="1362"/>
      <c r="FA616" s="1363"/>
    </row>
    <row r="617" spans="1:157" ht="12.9" customHeight="1">
      <c r="A617" s="1276" t="s">
        <v>552</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61">
        <f t="shared" si="1"/>
        <v>1</v>
      </c>
      <c r="BF617" s="1363"/>
      <c r="BG617" s="1404">
        <f t="shared" si="2"/>
        <v>2</v>
      </c>
      <c r="BH617" s="1405"/>
      <c r="BI617" s="1361">
        <f t="shared" si="3"/>
        <v>0</v>
      </c>
      <c r="BJ617" s="1363"/>
      <c r="BK617" s="1404">
        <f t="shared" si="4"/>
        <v>0</v>
      </c>
      <c r="BL617" s="1405"/>
      <c r="BM617" s="3"/>
      <c r="BN617" s="1401">
        <f t="shared" si="5"/>
        <v>0</v>
      </c>
      <c r="BO617" s="1402"/>
      <c r="BP617" s="1402"/>
      <c r="BQ617" s="1402"/>
      <c r="BR617" s="1403"/>
      <c r="BS617" s="1406">
        <f t="shared" si="6"/>
        <v>0</v>
      </c>
      <c r="BT617" s="1406"/>
      <c r="BU617" s="1406"/>
      <c r="BV617" s="1406"/>
      <c r="BW617" s="1406"/>
      <c r="BX617" s="1406">
        <f t="shared" si="7"/>
        <v>0</v>
      </c>
      <c r="BY617" s="1406"/>
      <c r="BZ617" s="1406"/>
      <c r="CA617" s="1406"/>
      <c r="CB617" s="1406"/>
      <c r="CC617" s="1406">
        <f t="shared" si="8"/>
        <v>0</v>
      </c>
      <c r="CD617" s="1406"/>
      <c r="CE617" s="1406"/>
      <c r="CF617" s="1406"/>
      <c r="CG617" s="1406"/>
      <c r="CH617" s="1406">
        <f t="shared" si="9"/>
        <v>2</v>
      </c>
      <c r="CI617" s="1406"/>
      <c r="CJ617" s="1406"/>
      <c r="CK617" s="1406"/>
      <c r="CL617" s="1406"/>
      <c r="CM617" s="1406">
        <f t="shared" si="10"/>
        <v>0</v>
      </c>
      <c r="CN617" s="1406"/>
      <c r="CO617" s="1406"/>
      <c r="CP617" s="1406"/>
      <c r="CQ617" s="1406"/>
      <c r="CR617" s="6"/>
      <c r="CS617" s="1400">
        <f t="shared" si="11"/>
        <v>0</v>
      </c>
      <c r="CT617" s="1400"/>
      <c r="CU617" s="1400"/>
      <c r="CV617" s="1400"/>
      <c r="CW617" s="1400"/>
      <c r="CX617" s="1400">
        <f t="shared" si="12"/>
        <v>0</v>
      </c>
      <c r="CY617" s="1400"/>
      <c r="CZ617" s="1400"/>
      <c r="DA617" s="1400"/>
      <c r="DB617" s="1400"/>
      <c r="DC617" s="1400">
        <f t="shared" si="13"/>
        <v>0</v>
      </c>
      <c r="DD617" s="1400"/>
      <c r="DE617" s="1400"/>
      <c r="DF617" s="1400"/>
      <c r="DG617" s="1400"/>
      <c r="DH617" s="1400">
        <f t="shared" si="14"/>
        <v>0</v>
      </c>
      <c r="DI617" s="1400"/>
      <c r="DJ617" s="1400"/>
      <c r="DK617" s="1400"/>
      <c r="DL617" s="1400"/>
      <c r="DM617" s="1400">
        <f t="shared" si="15"/>
        <v>0</v>
      </c>
      <c r="DN617" s="1400"/>
      <c r="DO617" s="1400"/>
      <c r="DP617" s="1400"/>
      <c r="DQ617" s="1400"/>
      <c r="DR617" s="1400">
        <f t="shared" si="16"/>
        <v>0</v>
      </c>
      <c r="DS617" s="1400"/>
      <c r="DT617" s="1400"/>
      <c r="DU617" s="1400"/>
      <c r="DV617" s="1400"/>
      <c r="DX617" s="1361" t="str">
        <f t="shared" si="17"/>
        <v/>
      </c>
      <c r="DY617" s="1362"/>
      <c r="DZ617" s="1362"/>
      <c r="EA617" s="1362"/>
      <c r="EB617" s="1363"/>
      <c r="EC617" s="1361" t="str">
        <f t="shared" si="18"/>
        <v/>
      </c>
      <c r="ED617" s="1362"/>
      <c r="EE617" s="1362"/>
      <c r="EF617" s="1362"/>
      <c r="EG617" s="1363"/>
      <c r="EH617" s="1361" t="str">
        <f t="shared" si="19"/>
        <v/>
      </c>
      <c r="EI617" s="1362"/>
      <c r="EJ617" s="1362"/>
      <c r="EK617" s="1362"/>
      <c r="EL617" s="1363"/>
      <c r="EM617" s="1361" t="str">
        <f t="shared" si="20"/>
        <v/>
      </c>
      <c r="EN617" s="1362"/>
      <c r="EO617" s="1362"/>
      <c r="EP617" s="1362"/>
      <c r="EQ617" s="1363"/>
      <c r="ER617" s="1361">
        <f t="shared" si="21"/>
        <v>1775</v>
      </c>
      <c r="ES617" s="1362"/>
      <c r="ET617" s="1362"/>
      <c r="EU617" s="1362"/>
      <c r="EV617" s="1363"/>
      <c r="EW617" s="1361" t="str">
        <f t="shared" si="22"/>
        <v/>
      </c>
      <c r="EX617" s="1362"/>
      <c r="EY617" s="1362"/>
      <c r="EZ617" s="1362"/>
      <c r="FA617" s="1363"/>
    </row>
    <row r="618" spans="1:157" ht="12.9"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61">
        <f t="shared" si="1"/>
        <v>0</v>
      </c>
      <c r="BF618" s="1363"/>
      <c r="BG618" s="1404">
        <f t="shared" si="2"/>
        <v>0</v>
      </c>
      <c r="BH618" s="1405"/>
      <c r="BI618" s="1361">
        <f t="shared" si="3"/>
        <v>0</v>
      </c>
      <c r="BJ618" s="1363"/>
      <c r="BK618" s="1404">
        <f t="shared" si="4"/>
        <v>0</v>
      </c>
      <c r="BL618" s="1405"/>
      <c r="BM618" s="3"/>
      <c r="BN618" s="1401">
        <f t="shared" si="5"/>
        <v>0</v>
      </c>
      <c r="BO618" s="1402"/>
      <c r="BP618" s="1402"/>
      <c r="BQ618" s="1402"/>
      <c r="BR618" s="1403"/>
      <c r="BS618" s="1406">
        <f t="shared" si="6"/>
        <v>0</v>
      </c>
      <c r="BT618" s="1406"/>
      <c r="BU618" s="1406"/>
      <c r="BV618" s="1406"/>
      <c r="BW618" s="1406"/>
      <c r="BX618" s="1406">
        <f t="shared" si="7"/>
        <v>0</v>
      </c>
      <c r="BY618" s="1406"/>
      <c r="BZ618" s="1406"/>
      <c r="CA618" s="1406"/>
      <c r="CB618" s="1406"/>
      <c r="CC618" s="1406">
        <f t="shared" si="8"/>
        <v>0</v>
      </c>
      <c r="CD618" s="1406"/>
      <c r="CE618" s="1406"/>
      <c r="CF618" s="1406"/>
      <c r="CG618" s="1406"/>
      <c r="CH618" s="1406">
        <f t="shared" si="9"/>
        <v>2</v>
      </c>
      <c r="CI618" s="1406"/>
      <c r="CJ618" s="1406"/>
      <c r="CK618" s="1406"/>
      <c r="CL618" s="1406"/>
      <c r="CM618" s="1406">
        <f t="shared" si="10"/>
        <v>0</v>
      </c>
      <c r="CN618" s="1406"/>
      <c r="CO618" s="1406"/>
      <c r="CP618" s="1406"/>
      <c r="CQ618" s="1406"/>
      <c r="CR618" s="6"/>
      <c r="CS618" s="1400">
        <f t="shared" si="11"/>
        <v>0</v>
      </c>
      <c r="CT618" s="1400"/>
      <c r="CU618" s="1400"/>
      <c r="CV618" s="1400"/>
      <c r="CW618" s="1400"/>
      <c r="CX618" s="1400">
        <f t="shared" si="12"/>
        <v>0</v>
      </c>
      <c r="CY618" s="1400"/>
      <c r="CZ618" s="1400"/>
      <c r="DA618" s="1400"/>
      <c r="DB618" s="1400"/>
      <c r="DC618" s="1400">
        <f t="shared" si="13"/>
        <v>0</v>
      </c>
      <c r="DD618" s="1400"/>
      <c r="DE618" s="1400"/>
      <c r="DF618" s="1400"/>
      <c r="DG618" s="1400"/>
      <c r="DH618" s="1400">
        <f t="shared" si="14"/>
        <v>0</v>
      </c>
      <c r="DI618" s="1400"/>
      <c r="DJ618" s="1400"/>
      <c r="DK618" s="1400"/>
      <c r="DL618" s="1400"/>
      <c r="DM618" s="1400">
        <f t="shared" si="15"/>
        <v>0</v>
      </c>
      <c r="DN618" s="1400"/>
      <c r="DO618" s="1400"/>
      <c r="DP618" s="1400"/>
      <c r="DQ618" s="1400"/>
      <c r="DR618" s="1400">
        <f t="shared" si="16"/>
        <v>0</v>
      </c>
      <c r="DS618" s="1400"/>
      <c r="DT618" s="1400"/>
      <c r="DU618" s="1400"/>
      <c r="DV618" s="1400"/>
      <c r="DX618" s="1361" t="str">
        <f t="shared" si="17"/>
        <v/>
      </c>
      <c r="DY618" s="1362"/>
      <c r="DZ618" s="1362"/>
      <c r="EA618" s="1362"/>
      <c r="EB618" s="1363"/>
      <c r="EC618" s="1361" t="str">
        <f t="shared" si="18"/>
        <v/>
      </c>
      <c r="ED618" s="1362"/>
      <c r="EE618" s="1362"/>
      <c r="EF618" s="1362"/>
      <c r="EG618" s="1363"/>
      <c r="EH618" s="1361" t="str">
        <f t="shared" si="19"/>
        <v/>
      </c>
      <c r="EI618" s="1362"/>
      <c r="EJ618" s="1362"/>
      <c r="EK618" s="1362"/>
      <c r="EL618" s="1363"/>
      <c r="EM618" s="1361" t="str">
        <f t="shared" si="20"/>
        <v/>
      </c>
      <c r="EN618" s="1362"/>
      <c r="EO618" s="1362"/>
      <c r="EP618" s="1362"/>
      <c r="EQ618" s="1363"/>
      <c r="ER618" s="1361">
        <f t="shared" si="21"/>
        <v>2160</v>
      </c>
      <c r="ES618" s="1362"/>
      <c r="ET618" s="1362"/>
      <c r="EU618" s="1362"/>
      <c r="EV618" s="1363"/>
      <c r="EW618" s="1361" t="str">
        <f t="shared" si="22"/>
        <v/>
      </c>
      <c r="EX618" s="1362"/>
      <c r="EY618" s="1362"/>
      <c r="EZ618" s="1362"/>
      <c r="FA618" s="1363"/>
    </row>
    <row r="619" spans="1:157" ht="12.9" customHeight="1">
      <c r="AZ619" s="3"/>
      <c r="BA619" s="3"/>
      <c r="BB619" s="3"/>
      <c r="BC619" s="3"/>
      <c r="BD619" s="3"/>
      <c r="BE619" s="1361">
        <f t="shared" si="1"/>
        <v>0</v>
      </c>
      <c r="BF619" s="1363"/>
      <c r="BG619" s="1404">
        <f t="shared" si="2"/>
        <v>0</v>
      </c>
      <c r="BH619" s="1405"/>
      <c r="BI619" s="1361">
        <f t="shared" si="3"/>
        <v>0</v>
      </c>
      <c r="BJ619" s="1363"/>
      <c r="BK619" s="1404">
        <f t="shared" si="4"/>
        <v>0</v>
      </c>
      <c r="BL619" s="1405"/>
      <c r="BM619" s="3"/>
      <c r="BN619" s="1401">
        <f t="shared" si="5"/>
        <v>0</v>
      </c>
      <c r="BO619" s="1402"/>
      <c r="BP619" s="1402"/>
      <c r="BQ619" s="1402"/>
      <c r="BR619" s="1403"/>
      <c r="BS619" s="1406">
        <f t="shared" si="6"/>
        <v>0</v>
      </c>
      <c r="BT619" s="1406"/>
      <c r="BU619" s="1406"/>
      <c r="BV619" s="1406"/>
      <c r="BW619" s="1406"/>
      <c r="BX619" s="1406">
        <f t="shared" si="7"/>
        <v>0</v>
      </c>
      <c r="BY619" s="1406"/>
      <c r="BZ619" s="1406"/>
      <c r="CA619" s="1406"/>
      <c r="CB619" s="1406"/>
      <c r="CC619" s="1406">
        <f t="shared" si="8"/>
        <v>0</v>
      </c>
      <c r="CD619" s="1406"/>
      <c r="CE619" s="1406"/>
      <c r="CF619" s="1406"/>
      <c r="CG619" s="1406"/>
      <c r="CH619" s="1406">
        <f t="shared" si="9"/>
        <v>10</v>
      </c>
      <c r="CI619" s="1406"/>
      <c r="CJ619" s="1406"/>
      <c r="CK619" s="1406"/>
      <c r="CL619" s="1406"/>
      <c r="CM619" s="1406">
        <f t="shared" si="10"/>
        <v>0</v>
      </c>
      <c r="CN619" s="1406"/>
      <c r="CO619" s="1406"/>
      <c r="CP619" s="1406"/>
      <c r="CQ619" s="1406"/>
      <c r="CR619" s="6"/>
      <c r="CS619" s="1400">
        <f t="shared" si="11"/>
        <v>0</v>
      </c>
      <c r="CT619" s="1400"/>
      <c r="CU619" s="1400"/>
      <c r="CV619" s="1400"/>
      <c r="CW619" s="1400"/>
      <c r="CX619" s="1400">
        <f t="shared" si="12"/>
        <v>0</v>
      </c>
      <c r="CY619" s="1400"/>
      <c r="CZ619" s="1400"/>
      <c r="DA619" s="1400"/>
      <c r="DB619" s="1400"/>
      <c r="DC619" s="1400">
        <f t="shared" si="13"/>
        <v>0</v>
      </c>
      <c r="DD619" s="1400"/>
      <c r="DE619" s="1400"/>
      <c r="DF619" s="1400"/>
      <c r="DG619" s="1400"/>
      <c r="DH619" s="1400">
        <f t="shared" si="14"/>
        <v>0</v>
      </c>
      <c r="DI619" s="1400"/>
      <c r="DJ619" s="1400"/>
      <c r="DK619" s="1400"/>
      <c r="DL619" s="1400"/>
      <c r="DM619" s="1400">
        <f t="shared" si="15"/>
        <v>0</v>
      </c>
      <c r="DN619" s="1400"/>
      <c r="DO619" s="1400"/>
      <c r="DP619" s="1400"/>
      <c r="DQ619" s="1400"/>
      <c r="DR619" s="1400">
        <f t="shared" si="16"/>
        <v>0</v>
      </c>
      <c r="DS619" s="1400"/>
      <c r="DT619" s="1400"/>
      <c r="DU619" s="1400"/>
      <c r="DV619" s="1400"/>
      <c r="DX619" s="1361" t="str">
        <f t="shared" si="17"/>
        <v/>
      </c>
      <c r="DY619" s="1362"/>
      <c r="DZ619" s="1362"/>
      <c r="EA619" s="1362"/>
      <c r="EB619" s="1363"/>
      <c r="EC619" s="1361" t="str">
        <f t="shared" si="18"/>
        <v/>
      </c>
      <c r="ED619" s="1362"/>
      <c r="EE619" s="1362"/>
      <c r="EF619" s="1362"/>
      <c r="EG619" s="1363"/>
      <c r="EH619" s="1361" t="str">
        <f t="shared" si="19"/>
        <v/>
      </c>
      <c r="EI619" s="1362"/>
      <c r="EJ619" s="1362"/>
      <c r="EK619" s="1362"/>
      <c r="EL619" s="1363"/>
      <c r="EM619" s="1361" t="str">
        <f t="shared" si="20"/>
        <v/>
      </c>
      <c r="EN619" s="1362"/>
      <c r="EO619" s="1362"/>
      <c r="EP619" s="1362"/>
      <c r="EQ619" s="1363"/>
      <c r="ER619" s="1361">
        <f t="shared" si="21"/>
        <v>2545</v>
      </c>
      <c r="ES619" s="1362"/>
      <c r="ET619" s="1362"/>
      <c r="EU619" s="1362"/>
      <c r="EV619" s="1363"/>
      <c r="EW619" s="1361" t="str">
        <f t="shared" si="22"/>
        <v/>
      </c>
      <c r="EX619" s="1362"/>
      <c r="EY619" s="1362"/>
      <c r="EZ619" s="1362"/>
      <c r="FA619" s="1363"/>
    </row>
    <row r="620" spans="1:157" ht="12.9" customHeight="1">
      <c r="A620" s="2" t="s">
        <v>320</v>
      </c>
      <c r="B620" s="2"/>
      <c r="C620" s="2" t="s">
        <v>21</v>
      </c>
      <c r="AZ620" s="3"/>
      <c r="BA620" s="3"/>
      <c r="BB620" s="3"/>
      <c r="BC620" s="3"/>
      <c r="BD620" s="3"/>
      <c r="BE620" s="1361">
        <f t="shared" si="1"/>
        <v>0</v>
      </c>
      <c r="BF620" s="1363"/>
      <c r="BG620" s="1404">
        <f t="shared" si="2"/>
        <v>0</v>
      </c>
      <c r="BH620" s="1405"/>
      <c r="BI620" s="1361">
        <f t="shared" si="3"/>
        <v>0</v>
      </c>
      <c r="BJ620" s="1363"/>
      <c r="BK620" s="1404">
        <f t="shared" si="4"/>
        <v>0</v>
      </c>
      <c r="BL620" s="1405"/>
      <c r="BM620" s="3"/>
      <c r="BN620" s="1401">
        <f t="shared" si="5"/>
        <v>0</v>
      </c>
      <c r="BO620" s="1402"/>
      <c r="BP620" s="1402"/>
      <c r="BQ620" s="1402"/>
      <c r="BR620" s="1403"/>
      <c r="BS620" s="1406">
        <f t="shared" si="6"/>
        <v>0</v>
      </c>
      <c r="BT620" s="1406"/>
      <c r="BU620" s="1406"/>
      <c r="BV620" s="1406"/>
      <c r="BW620" s="1406"/>
      <c r="BX620" s="1406">
        <f t="shared" si="7"/>
        <v>0</v>
      </c>
      <c r="BY620" s="1406"/>
      <c r="BZ620" s="1406"/>
      <c r="CA620" s="1406"/>
      <c r="CB620" s="1406"/>
      <c r="CC620" s="1406">
        <f t="shared" si="8"/>
        <v>0</v>
      </c>
      <c r="CD620" s="1406"/>
      <c r="CE620" s="1406"/>
      <c r="CF620" s="1406"/>
      <c r="CG620" s="1406"/>
      <c r="CH620" s="1406">
        <f t="shared" si="9"/>
        <v>0</v>
      </c>
      <c r="CI620" s="1406"/>
      <c r="CJ620" s="1406"/>
      <c r="CK620" s="1406"/>
      <c r="CL620" s="1406"/>
      <c r="CM620" s="1406">
        <f t="shared" si="10"/>
        <v>0</v>
      </c>
      <c r="CN620" s="1406"/>
      <c r="CO620" s="1406"/>
      <c r="CP620" s="1406"/>
      <c r="CQ620" s="1406"/>
      <c r="CR620" s="6"/>
      <c r="CS620" s="1400">
        <f t="shared" si="11"/>
        <v>0</v>
      </c>
      <c r="CT620" s="1400"/>
      <c r="CU620" s="1400"/>
      <c r="CV620" s="1400"/>
      <c r="CW620" s="1400"/>
      <c r="CX620" s="1400">
        <f t="shared" si="12"/>
        <v>0</v>
      </c>
      <c r="CY620" s="1400"/>
      <c r="CZ620" s="1400"/>
      <c r="DA620" s="1400"/>
      <c r="DB620" s="1400"/>
      <c r="DC620" s="1400">
        <f t="shared" si="13"/>
        <v>0</v>
      </c>
      <c r="DD620" s="1400"/>
      <c r="DE620" s="1400"/>
      <c r="DF620" s="1400"/>
      <c r="DG620" s="1400"/>
      <c r="DH620" s="1400">
        <f t="shared" si="14"/>
        <v>0</v>
      </c>
      <c r="DI620" s="1400"/>
      <c r="DJ620" s="1400"/>
      <c r="DK620" s="1400"/>
      <c r="DL620" s="1400"/>
      <c r="DM620" s="1400">
        <f t="shared" si="15"/>
        <v>0</v>
      </c>
      <c r="DN620" s="1400"/>
      <c r="DO620" s="1400"/>
      <c r="DP620" s="1400"/>
      <c r="DQ620" s="1400"/>
      <c r="DR620" s="1400">
        <f t="shared" si="16"/>
        <v>0</v>
      </c>
      <c r="DS620" s="1400"/>
      <c r="DT620" s="1400"/>
      <c r="DU620" s="1400"/>
      <c r="DV620" s="1400"/>
      <c r="DX620" s="1361" t="str">
        <f t="shared" si="17"/>
        <v/>
      </c>
      <c r="DY620" s="1362"/>
      <c r="DZ620" s="1362"/>
      <c r="EA620" s="1362"/>
      <c r="EB620" s="1363"/>
      <c r="EC620" s="1361" t="str">
        <f t="shared" si="18"/>
        <v/>
      </c>
      <c r="ED620" s="1362"/>
      <c r="EE620" s="1362"/>
      <c r="EF620" s="1362"/>
      <c r="EG620" s="1363"/>
      <c r="EH620" s="1361" t="str">
        <f t="shared" si="19"/>
        <v/>
      </c>
      <c r="EI620" s="1362"/>
      <c r="EJ620" s="1362"/>
      <c r="EK620" s="1362"/>
      <c r="EL620" s="1363"/>
      <c r="EM620" s="1361" t="str">
        <f t="shared" si="20"/>
        <v/>
      </c>
      <c r="EN620" s="1362"/>
      <c r="EO620" s="1362"/>
      <c r="EP620" s="1362"/>
      <c r="EQ620" s="1363"/>
      <c r="ER620" s="1361" t="str">
        <f t="shared" si="21"/>
        <v/>
      </c>
      <c r="ES620" s="1362"/>
      <c r="ET620" s="1362"/>
      <c r="EU620" s="1362"/>
      <c r="EV620" s="1363"/>
      <c r="EW620" s="1361" t="str">
        <f t="shared" si="22"/>
        <v/>
      </c>
      <c r="EX620" s="1362"/>
      <c r="EY620" s="1362"/>
      <c r="EZ620" s="1362"/>
      <c r="FA620" s="1363"/>
    </row>
    <row r="621" spans="1:157" ht="12.9" customHeight="1">
      <c r="A621" s="2"/>
      <c r="B621" s="2"/>
      <c r="C621" s="2"/>
      <c r="AZ621" s="3"/>
      <c r="BA621" s="3"/>
      <c r="BB621" s="3"/>
      <c r="BC621" s="3"/>
      <c r="BD621" s="3"/>
      <c r="BE621" s="1361">
        <f t="shared" si="1"/>
        <v>0</v>
      </c>
      <c r="BF621" s="1363"/>
      <c r="BG621" s="1404">
        <f t="shared" si="2"/>
        <v>0</v>
      </c>
      <c r="BH621" s="1405"/>
      <c r="BI621" s="1361">
        <f t="shared" si="3"/>
        <v>0</v>
      </c>
      <c r="BJ621" s="1363"/>
      <c r="BK621" s="1404">
        <f t="shared" si="4"/>
        <v>0</v>
      </c>
      <c r="BL621" s="1405"/>
      <c r="BM621" s="3"/>
      <c r="BN621" s="1401">
        <f t="shared" si="5"/>
        <v>0</v>
      </c>
      <c r="BO621" s="1402"/>
      <c r="BP621" s="1402"/>
      <c r="BQ621" s="1402"/>
      <c r="BR621" s="1403"/>
      <c r="BS621" s="1406">
        <f t="shared" si="6"/>
        <v>0</v>
      </c>
      <c r="BT621" s="1406"/>
      <c r="BU621" s="1406"/>
      <c r="BV621" s="1406"/>
      <c r="BW621" s="1406"/>
      <c r="BX621" s="1406">
        <f t="shared" si="7"/>
        <v>0</v>
      </c>
      <c r="BY621" s="1406"/>
      <c r="BZ621" s="1406"/>
      <c r="CA621" s="1406"/>
      <c r="CB621" s="1406"/>
      <c r="CC621" s="1406">
        <f t="shared" si="8"/>
        <v>0</v>
      </c>
      <c r="CD621" s="1406"/>
      <c r="CE621" s="1406"/>
      <c r="CF621" s="1406"/>
      <c r="CG621" s="1406"/>
      <c r="CH621" s="1406">
        <f t="shared" si="9"/>
        <v>0</v>
      </c>
      <c r="CI621" s="1406"/>
      <c r="CJ621" s="1406"/>
      <c r="CK621" s="1406"/>
      <c r="CL621" s="1406"/>
      <c r="CM621" s="1406">
        <f t="shared" si="10"/>
        <v>0</v>
      </c>
      <c r="CN621" s="1406"/>
      <c r="CO621" s="1406"/>
      <c r="CP621" s="1406"/>
      <c r="CQ621" s="1406"/>
      <c r="CR621" s="6"/>
      <c r="CS621" s="1400">
        <f t="shared" si="11"/>
        <v>0</v>
      </c>
      <c r="CT621" s="1400"/>
      <c r="CU621" s="1400"/>
      <c r="CV621" s="1400"/>
      <c r="CW621" s="1400"/>
      <c r="CX621" s="1400">
        <f t="shared" si="12"/>
        <v>0</v>
      </c>
      <c r="CY621" s="1400"/>
      <c r="CZ621" s="1400"/>
      <c r="DA621" s="1400"/>
      <c r="DB621" s="1400"/>
      <c r="DC621" s="1400">
        <f t="shared" si="13"/>
        <v>0</v>
      </c>
      <c r="DD621" s="1400"/>
      <c r="DE621" s="1400"/>
      <c r="DF621" s="1400"/>
      <c r="DG621" s="1400"/>
      <c r="DH621" s="1400">
        <f t="shared" si="14"/>
        <v>0</v>
      </c>
      <c r="DI621" s="1400"/>
      <c r="DJ621" s="1400"/>
      <c r="DK621" s="1400"/>
      <c r="DL621" s="1400"/>
      <c r="DM621" s="1400">
        <f t="shared" si="15"/>
        <v>0</v>
      </c>
      <c r="DN621" s="1400"/>
      <c r="DO621" s="1400"/>
      <c r="DP621" s="1400"/>
      <c r="DQ621" s="1400"/>
      <c r="DR621" s="1400">
        <f t="shared" si="16"/>
        <v>0</v>
      </c>
      <c r="DS621" s="1400"/>
      <c r="DT621" s="1400"/>
      <c r="DU621" s="1400"/>
      <c r="DV621" s="1400"/>
      <c r="DX621" s="1361" t="str">
        <f t="shared" si="17"/>
        <v/>
      </c>
      <c r="DY621" s="1362"/>
      <c r="DZ621" s="1362"/>
      <c r="EA621" s="1362"/>
      <c r="EB621" s="1363"/>
      <c r="EC621" s="1361" t="str">
        <f t="shared" si="18"/>
        <v/>
      </c>
      <c r="ED621" s="1362"/>
      <c r="EE621" s="1362"/>
      <c r="EF621" s="1362"/>
      <c r="EG621" s="1363"/>
      <c r="EH621" s="1361" t="str">
        <f t="shared" si="19"/>
        <v/>
      </c>
      <c r="EI621" s="1362"/>
      <c r="EJ621" s="1362"/>
      <c r="EK621" s="1362"/>
      <c r="EL621" s="1363"/>
      <c r="EM621" s="1361" t="str">
        <f t="shared" si="20"/>
        <v/>
      </c>
      <c r="EN621" s="1362"/>
      <c r="EO621" s="1362"/>
      <c r="EP621" s="1362"/>
      <c r="EQ621" s="1363"/>
      <c r="ER621" s="1361" t="str">
        <f t="shared" si="21"/>
        <v/>
      </c>
      <c r="ES621" s="1362"/>
      <c r="ET621" s="1362"/>
      <c r="EU621" s="1362"/>
      <c r="EV621" s="1363"/>
      <c r="EW621" s="1361" t="str">
        <f t="shared" si="22"/>
        <v/>
      </c>
      <c r="EX621" s="1362"/>
      <c r="EY621" s="1362"/>
      <c r="EZ621" s="1362"/>
      <c r="FA621" s="1363"/>
    </row>
    <row r="622" spans="1:157" ht="12.9" customHeight="1">
      <c r="C622" s="2" t="s">
        <v>2417</v>
      </c>
      <c r="AZ622" s="3"/>
      <c r="BA622" s="3"/>
      <c r="BB622" s="3"/>
      <c r="BC622" s="3"/>
      <c r="BD622" s="3"/>
      <c r="BE622" s="1361">
        <f t="shared" si="1"/>
        <v>0</v>
      </c>
      <c r="BF622" s="1363"/>
      <c r="BG622" s="1404">
        <f t="shared" si="2"/>
        <v>0</v>
      </c>
      <c r="BH622" s="1405"/>
      <c r="BI622" s="1361">
        <f t="shared" si="3"/>
        <v>0</v>
      </c>
      <c r="BJ622" s="1363"/>
      <c r="BK622" s="1404">
        <f t="shared" si="4"/>
        <v>0</v>
      </c>
      <c r="BL622" s="1405"/>
      <c r="BM622" s="3"/>
      <c r="BN622" s="1401">
        <f t="shared" si="5"/>
        <v>0</v>
      </c>
      <c r="BO622" s="1402"/>
      <c r="BP622" s="1402"/>
      <c r="BQ622" s="1402"/>
      <c r="BR622" s="1403"/>
      <c r="BS622" s="1406">
        <f t="shared" si="6"/>
        <v>0</v>
      </c>
      <c r="BT622" s="1406"/>
      <c r="BU622" s="1406"/>
      <c r="BV622" s="1406"/>
      <c r="BW622" s="1406"/>
      <c r="BX622" s="1406">
        <f t="shared" si="7"/>
        <v>0</v>
      </c>
      <c r="BY622" s="1406"/>
      <c r="BZ622" s="1406"/>
      <c r="CA622" s="1406"/>
      <c r="CB622" s="1406"/>
      <c r="CC622" s="1406">
        <f t="shared" si="8"/>
        <v>0</v>
      </c>
      <c r="CD622" s="1406"/>
      <c r="CE622" s="1406"/>
      <c r="CF622" s="1406"/>
      <c r="CG622" s="1406"/>
      <c r="CH622" s="1406">
        <f t="shared" si="9"/>
        <v>0</v>
      </c>
      <c r="CI622" s="1406"/>
      <c r="CJ622" s="1406"/>
      <c r="CK622" s="1406"/>
      <c r="CL622" s="1406"/>
      <c r="CM622" s="1406">
        <f t="shared" si="10"/>
        <v>0</v>
      </c>
      <c r="CN622" s="1406"/>
      <c r="CO622" s="1406"/>
      <c r="CP622" s="1406"/>
      <c r="CQ622" s="1406"/>
      <c r="CR622" s="6"/>
      <c r="CS622" s="1400">
        <f t="shared" si="11"/>
        <v>0</v>
      </c>
      <c r="CT622" s="1400"/>
      <c r="CU622" s="1400"/>
      <c r="CV622" s="1400"/>
      <c r="CW622" s="1400"/>
      <c r="CX622" s="1400">
        <f t="shared" si="12"/>
        <v>0</v>
      </c>
      <c r="CY622" s="1400"/>
      <c r="CZ622" s="1400"/>
      <c r="DA622" s="1400"/>
      <c r="DB622" s="1400"/>
      <c r="DC622" s="1400">
        <f t="shared" si="13"/>
        <v>0</v>
      </c>
      <c r="DD622" s="1400"/>
      <c r="DE622" s="1400"/>
      <c r="DF622" s="1400"/>
      <c r="DG622" s="1400"/>
      <c r="DH622" s="1400">
        <f t="shared" si="14"/>
        <v>0</v>
      </c>
      <c r="DI622" s="1400"/>
      <c r="DJ622" s="1400"/>
      <c r="DK622" s="1400"/>
      <c r="DL622" s="1400"/>
      <c r="DM622" s="1400">
        <f t="shared" si="15"/>
        <v>0</v>
      </c>
      <c r="DN622" s="1400"/>
      <c r="DO622" s="1400"/>
      <c r="DP622" s="1400"/>
      <c r="DQ622" s="1400"/>
      <c r="DR622" s="1400">
        <f t="shared" si="16"/>
        <v>0</v>
      </c>
      <c r="DS622" s="1400"/>
      <c r="DT622" s="1400"/>
      <c r="DU622" s="1400"/>
      <c r="DV622" s="1400"/>
      <c r="DX622" s="1361" t="str">
        <f t="shared" si="17"/>
        <v/>
      </c>
      <c r="DY622" s="1362"/>
      <c r="DZ622" s="1362"/>
      <c r="EA622" s="1362"/>
      <c r="EB622" s="1363"/>
      <c r="EC622" s="1361" t="str">
        <f t="shared" si="18"/>
        <v/>
      </c>
      <c r="ED622" s="1362"/>
      <c r="EE622" s="1362"/>
      <c r="EF622" s="1362"/>
      <c r="EG622" s="1363"/>
      <c r="EH622" s="1361" t="str">
        <f t="shared" si="19"/>
        <v/>
      </c>
      <c r="EI622" s="1362"/>
      <c r="EJ622" s="1362"/>
      <c r="EK622" s="1362"/>
      <c r="EL622" s="1363"/>
      <c r="EM622" s="1361" t="str">
        <f t="shared" si="20"/>
        <v/>
      </c>
      <c r="EN622" s="1362"/>
      <c r="EO622" s="1362"/>
      <c r="EP622" s="1362"/>
      <c r="EQ622" s="1363"/>
      <c r="ER622" s="1361" t="str">
        <f t="shared" si="21"/>
        <v/>
      </c>
      <c r="ES622" s="1362"/>
      <c r="ET622" s="1362"/>
      <c r="EU622" s="1362"/>
      <c r="EV622" s="1363"/>
      <c r="EW622" s="1361" t="str">
        <f t="shared" si="22"/>
        <v/>
      </c>
      <c r="EX622" s="1362"/>
      <c r="EY622" s="1362"/>
      <c r="EZ622" s="1362"/>
      <c r="FA622" s="1363"/>
    </row>
    <row r="623" spans="1:157" ht="12.9" customHeight="1">
      <c r="B623" s="546"/>
      <c r="C623" s="2"/>
      <c r="AU623" s="3"/>
      <c r="AZ623" s="3"/>
      <c r="BA623" s="3"/>
      <c r="BB623" s="3"/>
      <c r="BC623" s="3"/>
      <c r="BD623" s="3"/>
      <c r="BE623" s="1361">
        <f t="shared" si="1"/>
        <v>0</v>
      </c>
      <c r="BF623" s="1363"/>
      <c r="BG623" s="1404">
        <f t="shared" si="2"/>
        <v>0</v>
      </c>
      <c r="BH623" s="1405"/>
      <c r="BI623" s="1361">
        <f t="shared" si="3"/>
        <v>0</v>
      </c>
      <c r="BJ623" s="1363"/>
      <c r="BK623" s="1404">
        <f t="shared" si="4"/>
        <v>0</v>
      </c>
      <c r="BL623" s="1405"/>
      <c r="BM623" s="3"/>
      <c r="BN623" s="1401">
        <f t="shared" si="5"/>
        <v>0</v>
      </c>
      <c r="BO623" s="1402"/>
      <c r="BP623" s="1402"/>
      <c r="BQ623" s="1402"/>
      <c r="BR623" s="1403"/>
      <c r="BS623" s="1406">
        <f t="shared" si="6"/>
        <v>0</v>
      </c>
      <c r="BT623" s="1406"/>
      <c r="BU623" s="1406"/>
      <c r="BV623" s="1406"/>
      <c r="BW623" s="1406"/>
      <c r="BX623" s="1406">
        <f t="shared" si="7"/>
        <v>0</v>
      </c>
      <c r="BY623" s="1406"/>
      <c r="BZ623" s="1406"/>
      <c r="CA623" s="1406"/>
      <c r="CB623" s="1406"/>
      <c r="CC623" s="1406">
        <f t="shared" si="8"/>
        <v>0</v>
      </c>
      <c r="CD623" s="1406"/>
      <c r="CE623" s="1406"/>
      <c r="CF623" s="1406"/>
      <c r="CG623" s="1406"/>
      <c r="CH623" s="1406">
        <f t="shared" si="9"/>
        <v>0</v>
      </c>
      <c r="CI623" s="1406"/>
      <c r="CJ623" s="1406"/>
      <c r="CK623" s="1406"/>
      <c r="CL623" s="1406"/>
      <c r="CM623" s="1406">
        <f t="shared" si="10"/>
        <v>0</v>
      </c>
      <c r="CN623" s="1406"/>
      <c r="CO623" s="1406"/>
      <c r="CP623" s="1406"/>
      <c r="CQ623" s="1406"/>
      <c r="CR623" s="6"/>
      <c r="CS623" s="1400">
        <f t="shared" si="11"/>
        <v>0</v>
      </c>
      <c r="CT623" s="1400"/>
      <c r="CU623" s="1400"/>
      <c r="CV623" s="1400"/>
      <c r="CW623" s="1400"/>
      <c r="CX623" s="1400">
        <f t="shared" si="12"/>
        <v>0</v>
      </c>
      <c r="CY623" s="1400"/>
      <c r="CZ623" s="1400"/>
      <c r="DA623" s="1400"/>
      <c r="DB623" s="1400"/>
      <c r="DC623" s="1400">
        <f t="shared" si="13"/>
        <v>0</v>
      </c>
      <c r="DD623" s="1400"/>
      <c r="DE623" s="1400"/>
      <c r="DF623" s="1400"/>
      <c r="DG623" s="1400"/>
      <c r="DH623" s="1400">
        <f t="shared" si="14"/>
        <v>0</v>
      </c>
      <c r="DI623" s="1400"/>
      <c r="DJ623" s="1400"/>
      <c r="DK623" s="1400"/>
      <c r="DL623" s="1400"/>
      <c r="DM623" s="1400">
        <f t="shared" si="15"/>
        <v>0</v>
      </c>
      <c r="DN623" s="1400"/>
      <c r="DO623" s="1400"/>
      <c r="DP623" s="1400"/>
      <c r="DQ623" s="1400"/>
      <c r="DR623" s="1400">
        <f t="shared" si="16"/>
        <v>0</v>
      </c>
      <c r="DS623" s="1400"/>
      <c r="DT623" s="1400"/>
      <c r="DU623" s="1400"/>
      <c r="DV623" s="1400"/>
      <c r="DX623" s="1361" t="str">
        <f t="shared" si="17"/>
        <v/>
      </c>
      <c r="DY623" s="1362"/>
      <c r="DZ623" s="1362"/>
      <c r="EA623" s="1362"/>
      <c r="EB623" s="1363"/>
      <c r="EC623" s="1361" t="str">
        <f t="shared" si="18"/>
        <v/>
      </c>
      <c r="ED623" s="1362"/>
      <c r="EE623" s="1362"/>
      <c r="EF623" s="1362"/>
      <c r="EG623" s="1363"/>
      <c r="EH623" s="1361" t="str">
        <f t="shared" si="19"/>
        <v/>
      </c>
      <c r="EI623" s="1362"/>
      <c r="EJ623" s="1362"/>
      <c r="EK623" s="1362"/>
      <c r="EL623" s="1363"/>
      <c r="EM623" s="1361" t="str">
        <f t="shared" si="20"/>
        <v/>
      </c>
      <c r="EN623" s="1362"/>
      <c r="EO623" s="1362"/>
      <c r="EP623" s="1362"/>
      <c r="EQ623" s="1363"/>
      <c r="ER623" s="1361" t="str">
        <f t="shared" si="21"/>
        <v/>
      </c>
      <c r="ES623" s="1362"/>
      <c r="ET623" s="1362"/>
      <c r="EU623" s="1362"/>
      <c r="EV623" s="1363"/>
      <c r="EW623" s="1361" t="str">
        <f t="shared" si="22"/>
        <v/>
      </c>
      <c r="EX623" s="1362"/>
      <c r="EY623" s="1362"/>
      <c r="EZ623" s="1362"/>
      <c r="FA623" s="1363"/>
    </row>
    <row r="624" spans="1:157" ht="12.9" customHeight="1">
      <c r="B624" s="1846" t="s">
        <v>2419</v>
      </c>
      <c r="C624" s="1846"/>
      <c r="D624" s="1846"/>
      <c r="E624" s="1846"/>
      <c r="F624" s="1846"/>
      <c r="G624" s="1846"/>
      <c r="H624" s="1846"/>
      <c r="I624" s="1846"/>
      <c r="J624" s="1846"/>
      <c r="K624" s="1846"/>
      <c r="L624" s="1846"/>
      <c r="M624" s="1713" t="s">
        <v>2420</v>
      </c>
      <c r="N624" s="1713"/>
      <c r="O624" s="1713"/>
      <c r="P624" s="1713"/>
      <c r="Q624" s="1713" t="s">
        <v>2041</v>
      </c>
      <c r="R624" s="1713"/>
      <c r="S624" s="1713"/>
      <c r="T624" s="1713" t="s">
        <v>2039</v>
      </c>
      <c r="U624" s="1713"/>
      <c r="V624" s="1713"/>
      <c r="W624" s="1848" t="s">
        <v>461</v>
      </c>
      <c r="X624" s="1848"/>
      <c r="Y624" s="1848"/>
      <c r="Z624" s="1415" t="s">
        <v>2449</v>
      </c>
      <c r="AA624" s="1415"/>
      <c r="AB624" s="1416"/>
      <c r="AC624" s="1704" t="s">
        <v>1862</v>
      </c>
      <c r="AD624" s="1705"/>
      <c r="AE624" s="1706"/>
      <c r="AF624" s="1414" t="s">
        <v>2228</v>
      </c>
      <c r="AG624" s="1415"/>
      <c r="AH624" s="1415"/>
      <c r="AI624" s="1415"/>
      <c r="AJ624" s="1416"/>
      <c r="AK624" s="1771" t="s">
        <v>2229</v>
      </c>
      <c r="AL624" s="1772"/>
      <c r="AM624" s="1772"/>
      <c r="AN624" s="1773"/>
      <c r="AO624" s="1713" t="s">
        <v>462</v>
      </c>
      <c r="AP624" s="1713"/>
      <c r="AQ624" s="1713"/>
      <c r="AR624" s="1713"/>
      <c r="AS624" s="1713"/>
      <c r="AU624" s="3"/>
      <c r="AZ624" s="3"/>
      <c r="BA624" s="3"/>
      <c r="BB624" s="3"/>
      <c r="BC624" s="3"/>
      <c r="BD624" s="3"/>
      <c r="BE624" s="1361">
        <f t="shared" si="1"/>
        <v>0</v>
      </c>
      <c r="BF624" s="1363"/>
      <c r="BG624" s="1404">
        <f t="shared" si="2"/>
        <v>0</v>
      </c>
      <c r="BH624" s="1405"/>
      <c r="BI624" s="1361">
        <f t="shared" si="3"/>
        <v>0</v>
      </c>
      <c r="BJ624" s="1363"/>
      <c r="BK624" s="1404">
        <f t="shared" si="4"/>
        <v>0</v>
      </c>
      <c r="BL624" s="1405"/>
      <c r="BM624" s="3"/>
      <c r="BN624" s="1401">
        <f t="shared" si="5"/>
        <v>0</v>
      </c>
      <c r="BO624" s="1402"/>
      <c r="BP624" s="1402"/>
      <c r="BQ624" s="1402"/>
      <c r="BR624" s="1403"/>
      <c r="BS624" s="1406">
        <f t="shared" si="6"/>
        <v>0</v>
      </c>
      <c r="BT624" s="1406"/>
      <c r="BU624" s="1406"/>
      <c r="BV624" s="1406"/>
      <c r="BW624" s="1406"/>
      <c r="BX624" s="1406">
        <f t="shared" si="7"/>
        <v>0</v>
      </c>
      <c r="BY624" s="1406"/>
      <c r="BZ624" s="1406"/>
      <c r="CA624" s="1406"/>
      <c r="CB624" s="1406"/>
      <c r="CC624" s="1406">
        <f t="shared" si="8"/>
        <v>0</v>
      </c>
      <c r="CD624" s="1406"/>
      <c r="CE624" s="1406"/>
      <c r="CF624" s="1406"/>
      <c r="CG624" s="1406"/>
      <c r="CH624" s="1406">
        <f t="shared" si="9"/>
        <v>0</v>
      </c>
      <c r="CI624" s="1406"/>
      <c r="CJ624" s="1406"/>
      <c r="CK624" s="1406"/>
      <c r="CL624" s="1406"/>
      <c r="CM624" s="1406">
        <f t="shared" si="10"/>
        <v>0</v>
      </c>
      <c r="CN624" s="1406"/>
      <c r="CO624" s="1406"/>
      <c r="CP624" s="1406"/>
      <c r="CQ624" s="1406"/>
      <c r="CR624" s="6"/>
      <c r="CS624" s="1400">
        <f t="shared" si="11"/>
        <v>0</v>
      </c>
      <c r="CT624" s="1400"/>
      <c r="CU624" s="1400"/>
      <c r="CV624" s="1400"/>
      <c r="CW624" s="1400"/>
      <c r="CX624" s="1400">
        <f t="shared" si="12"/>
        <v>0</v>
      </c>
      <c r="CY624" s="1400"/>
      <c r="CZ624" s="1400"/>
      <c r="DA624" s="1400"/>
      <c r="DB624" s="1400"/>
      <c r="DC624" s="1400">
        <f t="shared" si="13"/>
        <v>0</v>
      </c>
      <c r="DD624" s="1400"/>
      <c r="DE624" s="1400"/>
      <c r="DF624" s="1400"/>
      <c r="DG624" s="1400"/>
      <c r="DH624" s="1400">
        <f t="shared" si="14"/>
        <v>0</v>
      </c>
      <c r="DI624" s="1400"/>
      <c r="DJ624" s="1400"/>
      <c r="DK624" s="1400"/>
      <c r="DL624" s="1400"/>
      <c r="DM624" s="1400">
        <f t="shared" si="15"/>
        <v>0</v>
      </c>
      <c r="DN624" s="1400"/>
      <c r="DO624" s="1400"/>
      <c r="DP624" s="1400"/>
      <c r="DQ624" s="1400"/>
      <c r="DR624" s="1400">
        <f t="shared" si="16"/>
        <v>0</v>
      </c>
      <c r="DS624" s="1400"/>
      <c r="DT624" s="1400"/>
      <c r="DU624" s="1400"/>
      <c r="DV624" s="1400"/>
      <c r="DX624" s="1361" t="str">
        <f t="shared" si="17"/>
        <v/>
      </c>
      <c r="DY624" s="1362"/>
      <c r="DZ624" s="1362"/>
      <c r="EA624" s="1362"/>
      <c r="EB624" s="1363"/>
      <c r="EC624" s="1361" t="str">
        <f t="shared" si="18"/>
        <v/>
      </c>
      <c r="ED624" s="1362"/>
      <c r="EE624" s="1362"/>
      <c r="EF624" s="1362"/>
      <c r="EG624" s="1363"/>
      <c r="EH624" s="1361" t="str">
        <f t="shared" si="19"/>
        <v/>
      </c>
      <c r="EI624" s="1362"/>
      <c r="EJ624" s="1362"/>
      <c r="EK624" s="1362"/>
      <c r="EL624" s="1363"/>
      <c r="EM624" s="1361" t="str">
        <f t="shared" si="20"/>
        <v/>
      </c>
      <c r="EN624" s="1362"/>
      <c r="EO624" s="1362"/>
      <c r="EP624" s="1362"/>
      <c r="EQ624" s="1363"/>
      <c r="ER624" s="1361" t="str">
        <f t="shared" si="21"/>
        <v/>
      </c>
      <c r="ES624" s="1362"/>
      <c r="ET624" s="1362"/>
      <c r="EU624" s="1362"/>
      <c r="EV624" s="1363"/>
      <c r="EW624" s="1361" t="str">
        <f t="shared" si="22"/>
        <v/>
      </c>
      <c r="EX624" s="1362"/>
      <c r="EY624" s="1362"/>
      <c r="EZ624" s="1362"/>
      <c r="FA624" s="1363"/>
    </row>
    <row r="625" spans="2:157" ht="12.9" customHeight="1">
      <c r="B625" s="1846"/>
      <c r="C625" s="1846"/>
      <c r="D625" s="1846"/>
      <c r="E625" s="1846"/>
      <c r="F625" s="1846"/>
      <c r="G625" s="1846"/>
      <c r="H625" s="1846"/>
      <c r="I625" s="1846"/>
      <c r="J625" s="1846"/>
      <c r="K625" s="1846"/>
      <c r="L625" s="1846"/>
      <c r="M625" s="1713"/>
      <c r="N625" s="1713"/>
      <c r="O625" s="1713"/>
      <c r="P625" s="1713"/>
      <c r="Q625" s="1713"/>
      <c r="R625" s="1713"/>
      <c r="S625" s="1713"/>
      <c r="T625" s="1713"/>
      <c r="U625" s="1713"/>
      <c r="V625" s="1713"/>
      <c r="W625" s="1848"/>
      <c r="X625" s="1848"/>
      <c r="Y625" s="1848"/>
      <c r="Z625" s="1418"/>
      <c r="AA625" s="1418"/>
      <c r="AB625" s="1419"/>
      <c r="AC625" s="1707"/>
      <c r="AD625" s="1708"/>
      <c r="AE625" s="1709"/>
      <c r="AF625" s="1417"/>
      <c r="AG625" s="1418"/>
      <c r="AH625" s="1418"/>
      <c r="AI625" s="1418"/>
      <c r="AJ625" s="1419"/>
      <c r="AK625" s="1774"/>
      <c r="AL625" s="1775"/>
      <c r="AM625" s="1775"/>
      <c r="AN625" s="1776"/>
      <c r="AO625" s="1713"/>
      <c r="AP625" s="1713"/>
      <c r="AQ625" s="1713"/>
      <c r="AR625" s="1713"/>
      <c r="AS625" s="1713"/>
      <c r="AU625" s="3"/>
      <c r="AZ625" s="3"/>
      <c r="BA625" s="3"/>
      <c r="BB625" s="3"/>
      <c r="BC625" s="3"/>
      <c r="BD625" s="3"/>
      <c r="BE625" s="1361">
        <f t="shared" si="1"/>
        <v>0</v>
      </c>
      <c r="BF625" s="1363"/>
      <c r="BG625" s="1404">
        <f t="shared" si="2"/>
        <v>0</v>
      </c>
      <c r="BH625" s="1405"/>
      <c r="BI625" s="1361">
        <f t="shared" si="3"/>
        <v>0</v>
      </c>
      <c r="BJ625" s="1363"/>
      <c r="BK625" s="1404">
        <f t="shared" si="4"/>
        <v>0</v>
      </c>
      <c r="BL625" s="1405"/>
      <c r="BM625" s="3"/>
      <c r="BN625" s="1401">
        <f t="shared" si="5"/>
        <v>0</v>
      </c>
      <c r="BO625" s="1402"/>
      <c r="BP625" s="1402"/>
      <c r="BQ625" s="1402"/>
      <c r="BR625" s="1403"/>
      <c r="BS625" s="1406">
        <f t="shared" si="6"/>
        <v>0</v>
      </c>
      <c r="BT625" s="1406"/>
      <c r="BU625" s="1406"/>
      <c r="BV625" s="1406"/>
      <c r="BW625" s="1406"/>
      <c r="BX625" s="1406">
        <f t="shared" si="7"/>
        <v>0</v>
      </c>
      <c r="BY625" s="1406"/>
      <c r="BZ625" s="1406"/>
      <c r="CA625" s="1406"/>
      <c r="CB625" s="1406"/>
      <c r="CC625" s="1406">
        <f t="shared" si="8"/>
        <v>0</v>
      </c>
      <c r="CD625" s="1406"/>
      <c r="CE625" s="1406"/>
      <c r="CF625" s="1406"/>
      <c r="CG625" s="1406"/>
      <c r="CH625" s="1406">
        <f t="shared" si="9"/>
        <v>0</v>
      </c>
      <c r="CI625" s="1406"/>
      <c r="CJ625" s="1406"/>
      <c r="CK625" s="1406"/>
      <c r="CL625" s="1406"/>
      <c r="CM625" s="1406">
        <f t="shared" si="10"/>
        <v>0</v>
      </c>
      <c r="CN625" s="1406"/>
      <c r="CO625" s="1406"/>
      <c r="CP625" s="1406"/>
      <c r="CQ625" s="1406"/>
      <c r="CR625" s="6"/>
      <c r="CS625" s="1400">
        <f t="shared" si="11"/>
        <v>0</v>
      </c>
      <c r="CT625" s="1400"/>
      <c r="CU625" s="1400"/>
      <c r="CV625" s="1400"/>
      <c r="CW625" s="1400"/>
      <c r="CX625" s="1400">
        <f t="shared" si="12"/>
        <v>0</v>
      </c>
      <c r="CY625" s="1400"/>
      <c r="CZ625" s="1400"/>
      <c r="DA625" s="1400"/>
      <c r="DB625" s="1400"/>
      <c r="DC625" s="1400">
        <f t="shared" si="13"/>
        <v>0</v>
      </c>
      <c r="DD625" s="1400"/>
      <c r="DE625" s="1400"/>
      <c r="DF625" s="1400"/>
      <c r="DG625" s="1400"/>
      <c r="DH625" s="1400">
        <f t="shared" si="14"/>
        <v>0</v>
      </c>
      <c r="DI625" s="1400"/>
      <c r="DJ625" s="1400"/>
      <c r="DK625" s="1400"/>
      <c r="DL625" s="1400"/>
      <c r="DM625" s="1400">
        <f t="shared" si="15"/>
        <v>0</v>
      </c>
      <c r="DN625" s="1400"/>
      <c r="DO625" s="1400"/>
      <c r="DP625" s="1400"/>
      <c r="DQ625" s="1400"/>
      <c r="DR625" s="1400">
        <f t="shared" si="16"/>
        <v>0</v>
      </c>
      <c r="DS625" s="1400"/>
      <c r="DT625" s="1400"/>
      <c r="DU625" s="1400"/>
      <c r="DV625" s="1400"/>
      <c r="DX625" s="1361" t="str">
        <f t="shared" si="17"/>
        <v/>
      </c>
      <c r="DY625" s="1362"/>
      <c r="DZ625" s="1362"/>
      <c r="EA625" s="1362"/>
      <c r="EB625" s="1363"/>
      <c r="EC625" s="1361" t="str">
        <f t="shared" si="18"/>
        <v/>
      </c>
      <c r="ED625" s="1362"/>
      <c r="EE625" s="1362"/>
      <c r="EF625" s="1362"/>
      <c r="EG625" s="1363"/>
      <c r="EH625" s="1361" t="str">
        <f t="shared" si="19"/>
        <v/>
      </c>
      <c r="EI625" s="1362"/>
      <c r="EJ625" s="1362"/>
      <c r="EK625" s="1362"/>
      <c r="EL625" s="1363"/>
      <c r="EM625" s="1361" t="str">
        <f t="shared" si="20"/>
        <v/>
      </c>
      <c r="EN625" s="1362"/>
      <c r="EO625" s="1362"/>
      <c r="EP625" s="1362"/>
      <c r="EQ625" s="1363"/>
      <c r="ER625" s="1361" t="str">
        <f t="shared" si="21"/>
        <v/>
      </c>
      <c r="ES625" s="1362"/>
      <c r="ET625" s="1362"/>
      <c r="EU625" s="1362"/>
      <c r="EV625" s="1363"/>
      <c r="EW625" s="1361" t="str">
        <f t="shared" si="22"/>
        <v/>
      </c>
      <c r="EX625" s="1362"/>
      <c r="EY625" s="1362"/>
      <c r="EZ625" s="1362"/>
      <c r="FA625" s="1363"/>
    </row>
    <row r="626" spans="2:157" ht="12.9" customHeight="1">
      <c r="B626" s="1846"/>
      <c r="C626" s="1846"/>
      <c r="D626" s="1846"/>
      <c r="E626" s="1846"/>
      <c r="F626" s="1846"/>
      <c r="G626" s="1846"/>
      <c r="H626" s="1846"/>
      <c r="I626" s="1846"/>
      <c r="J626" s="1846"/>
      <c r="K626" s="1846"/>
      <c r="L626" s="1846"/>
      <c r="M626" s="1713"/>
      <c r="N626" s="1713"/>
      <c r="O626" s="1713"/>
      <c r="P626" s="1713"/>
      <c r="Q626" s="1713"/>
      <c r="R626" s="1713"/>
      <c r="S626" s="1713"/>
      <c r="T626" s="1713"/>
      <c r="U626" s="1713"/>
      <c r="V626" s="1713"/>
      <c r="W626" s="1848"/>
      <c r="X626" s="1848"/>
      <c r="Y626" s="1848"/>
      <c r="Z626" s="1421"/>
      <c r="AA626" s="1421"/>
      <c r="AB626" s="1422"/>
      <c r="AC626" s="1710"/>
      <c r="AD626" s="1711"/>
      <c r="AE626" s="1712"/>
      <c r="AF626" s="1420"/>
      <c r="AG626" s="1421"/>
      <c r="AH626" s="1421"/>
      <c r="AI626" s="1421"/>
      <c r="AJ626" s="1422"/>
      <c r="AK626" s="1777"/>
      <c r="AL626" s="1778"/>
      <c r="AM626" s="1778"/>
      <c r="AN626" s="1779"/>
      <c r="AO626" s="1713"/>
      <c r="AP626" s="1713"/>
      <c r="AQ626" s="1713"/>
      <c r="AR626" s="1713"/>
      <c r="AS626" s="1713"/>
      <c r="AT626" s="3"/>
      <c r="AU626" s="3"/>
      <c r="AZ626" s="3"/>
      <c r="BA626" s="3"/>
      <c r="BB626" s="3"/>
      <c r="BC626" s="3"/>
      <c r="BD626" s="3"/>
      <c r="BE626" s="1361">
        <f t="shared" si="1"/>
        <v>0</v>
      </c>
      <c r="BF626" s="1363"/>
      <c r="BG626" s="1404">
        <f t="shared" si="2"/>
        <v>0</v>
      </c>
      <c r="BH626" s="1405"/>
      <c r="BI626" s="1361">
        <f t="shared" si="3"/>
        <v>0</v>
      </c>
      <c r="BJ626" s="1363"/>
      <c r="BK626" s="1404">
        <f t="shared" si="4"/>
        <v>0</v>
      </c>
      <c r="BL626" s="1405"/>
      <c r="BM626" s="3"/>
      <c r="BN626" s="1401">
        <f t="shared" si="5"/>
        <v>0</v>
      </c>
      <c r="BO626" s="1402"/>
      <c r="BP626" s="1402"/>
      <c r="BQ626" s="1402"/>
      <c r="BR626" s="1403"/>
      <c r="BS626" s="1406">
        <f t="shared" si="6"/>
        <v>0</v>
      </c>
      <c r="BT626" s="1406"/>
      <c r="BU626" s="1406"/>
      <c r="BV626" s="1406"/>
      <c r="BW626" s="1406"/>
      <c r="BX626" s="1406">
        <f t="shared" si="7"/>
        <v>0</v>
      </c>
      <c r="BY626" s="1406"/>
      <c r="BZ626" s="1406"/>
      <c r="CA626" s="1406"/>
      <c r="CB626" s="1406"/>
      <c r="CC626" s="1406">
        <f t="shared" si="8"/>
        <v>0</v>
      </c>
      <c r="CD626" s="1406"/>
      <c r="CE626" s="1406"/>
      <c r="CF626" s="1406"/>
      <c r="CG626" s="1406"/>
      <c r="CH626" s="1406">
        <f t="shared" si="9"/>
        <v>0</v>
      </c>
      <c r="CI626" s="1406"/>
      <c r="CJ626" s="1406"/>
      <c r="CK626" s="1406"/>
      <c r="CL626" s="1406"/>
      <c r="CM626" s="1406">
        <f t="shared" si="10"/>
        <v>0</v>
      </c>
      <c r="CN626" s="1406"/>
      <c r="CO626" s="1406"/>
      <c r="CP626" s="1406"/>
      <c r="CQ626" s="1406"/>
      <c r="CR626" s="6"/>
      <c r="CS626" s="1400">
        <f t="shared" si="11"/>
        <v>0</v>
      </c>
      <c r="CT626" s="1400"/>
      <c r="CU626" s="1400"/>
      <c r="CV626" s="1400"/>
      <c r="CW626" s="1400"/>
      <c r="CX626" s="1400">
        <f t="shared" si="12"/>
        <v>0</v>
      </c>
      <c r="CY626" s="1400"/>
      <c r="CZ626" s="1400"/>
      <c r="DA626" s="1400"/>
      <c r="DB626" s="1400"/>
      <c r="DC626" s="1400">
        <f t="shared" si="13"/>
        <v>0</v>
      </c>
      <c r="DD626" s="1400"/>
      <c r="DE626" s="1400"/>
      <c r="DF626" s="1400"/>
      <c r="DG626" s="1400"/>
      <c r="DH626" s="1400">
        <f t="shared" si="14"/>
        <v>0</v>
      </c>
      <c r="DI626" s="1400"/>
      <c r="DJ626" s="1400"/>
      <c r="DK626" s="1400"/>
      <c r="DL626" s="1400"/>
      <c r="DM626" s="1400">
        <f t="shared" si="15"/>
        <v>0</v>
      </c>
      <c r="DN626" s="1400"/>
      <c r="DO626" s="1400"/>
      <c r="DP626" s="1400"/>
      <c r="DQ626" s="1400"/>
      <c r="DR626" s="1400">
        <f t="shared" si="16"/>
        <v>0</v>
      </c>
      <c r="DS626" s="1400"/>
      <c r="DT626" s="1400"/>
      <c r="DU626" s="1400"/>
      <c r="DV626" s="1400"/>
      <c r="DX626" s="1361" t="str">
        <f t="shared" si="17"/>
        <v/>
      </c>
      <c r="DY626" s="1362"/>
      <c r="DZ626" s="1362"/>
      <c r="EA626" s="1362"/>
      <c r="EB626" s="1363"/>
      <c r="EC626" s="1361" t="str">
        <f t="shared" si="18"/>
        <v/>
      </c>
      <c r="ED626" s="1362"/>
      <c r="EE626" s="1362"/>
      <c r="EF626" s="1362"/>
      <c r="EG626" s="1363"/>
      <c r="EH626" s="1361" t="str">
        <f t="shared" si="19"/>
        <v/>
      </c>
      <c r="EI626" s="1362"/>
      <c r="EJ626" s="1362"/>
      <c r="EK626" s="1362"/>
      <c r="EL626" s="1363"/>
      <c r="EM626" s="1361" t="str">
        <f t="shared" si="20"/>
        <v/>
      </c>
      <c r="EN626" s="1362"/>
      <c r="EO626" s="1362"/>
      <c r="EP626" s="1362"/>
      <c r="EQ626" s="1363"/>
      <c r="ER626" s="1361" t="str">
        <f t="shared" si="21"/>
        <v/>
      </c>
      <c r="ES626" s="1362"/>
      <c r="ET626" s="1362"/>
      <c r="EU626" s="1362"/>
      <c r="EV626" s="1363"/>
      <c r="EW626" s="1361" t="str">
        <f t="shared" si="22"/>
        <v/>
      </c>
      <c r="EX626" s="1362"/>
      <c r="EY626" s="1362"/>
      <c r="EZ626" s="1362"/>
      <c r="FA626" s="1363"/>
    </row>
    <row r="627" spans="2:157" ht="12.9" customHeight="1">
      <c r="B627" s="51" t="s">
        <v>112</v>
      </c>
      <c r="C627" s="1571" t="s">
        <v>2644</v>
      </c>
      <c r="D627" s="1571"/>
      <c r="E627" s="1571"/>
      <c r="F627" s="1571"/>
      <c r="G627" s="1571"/>
      <c r="H627" s="1571"/>
      <c r="I627" s="1571"/>
      <c r="J627" s="1571"/>
      <c r="K627" s="1571"/>
      <c r="L627" s="1571"/>
      <c r="M627" s="1697" t="s">
        <v>2436</v>
      </c>
      <c r="N627" s="1697"/>
      <c r="O627" s="1697"/>
      <c r="P627" s="1697"/>
      <c r="Q627" s="1543">
        <v>480</v>
      </c>
      <c r="R627" s="1543"/>
      <c r="S627" s="1574"/>
      <c r="T627" s="1573">
        <v>480</v>
      </c>
      <c r="U627" s="1543"/>
      <c r="V627" s="1574"/>
      <c r="W627" s="1568">
        <v>6.25E-2</v>
      </c>
      <c r="X627" s="1569"/>
      <c r="Y627" s="1570"/>
      <c r="Z627" s="1501" t="s">
        <v>2448</v>
      </c>
      <c r="AA627" s="1502"/>
      <c r="AB627" s="1503"/>
      <c r="AC627" s="1455">
        <v>1</v>
      </c>
      <c r="AD627" s="1456"/>
      <c r="AE627" s="1457"/>
      <c r="AF627" s="1577">
        <v>1928044</v>
      </c>
      <c r="AG627" s="1578"/>
      <c r="AH627" s="1578"/>
      <c r="AI627" s="1578"/>
      <c r="AJ627" s="1579"/>
      <c r="AK627" s="1698"/>
      <c r="AL627" s="1699"/>
      <c r="AM627" s="1699"/>
      <c r="AN627" s="1700"/>
      <c r="AO627" s="1580">
        <v>28300000</v>
      </c>
      <c r="AP627" s="1580"/>
      <c r="AQ627" s="1580"/>
      <c r="AR627" s="1580"/>
      <c r="AS627" s="1580"/>
      <c r="AT627" s="3"/>
      <c r="AU627" s="3"/>
      <c r="AZ627" s="3"/>
      <c r="BA627" s="3"/>
      <c r="BB627" s="3"/>
      <c r="BC627" s="3"/>
      <c r="BD627" s="3"/>
      <c r="BE627" s="1361">
        <f t="shared" si="1"/>
        <v>0</v>
      </c>
      <c r="BF627" s="1363"/>
      <c r="BG627" s="1404">
        <f t="shared" si="2"/>
        <v>0</v>
      </c>
      <c r="BH627" s="1405"/>
      <c r="BI627" s="1361">
        <f t="shared" si="3"/>
        <v>0</v>
      </c>
      <c r="BJ627" s="1363"/>
      <c r="BK627" s="1404">
        <f t="shared" si="4"/>
        <v>0</v>
      </c>
      <c r="BL627" s="1405"/>
      <c r="BM627" s="3"/>
      <c r="BN627" s="1401">
        <f t="shared" si="5"/>
        <v>0</v>
      </c>
      <c r="BO627" s="1402"/>
      <c r="BP627" s="1402"/>
      <c r="BQ627" s="1402"/>
      <c r="BR627" s="1403"/>
      <c r="BS627" s="1406">
        <f t="shared" si="6"/>
        <v>0</v>
      </c>
      <c r="BT627" s="1406"/>
      <c r="BU627" s="1406"/>
      <c r="BV627" s="1406"/>
      <c r="BW627" s="1406"/>
      <c r="BX627" s="1406">
        <f t="shared" si="7"/>
        <v>0</v>
      </c>
      <c r="BY627" s="1406"/>
      <c r="BZ627" s="1406"/>
      <c r="CA627" s="1406"/>
      <c r="CB627" s="1406"/>
      <c r="CC627" s="1406">
        <f t="shared" si="8"/>
        <v>0</v>
      </c>
      <c r="CD627" s="1406"/>
      <c r="CE627" s="1406"/>
      <c r="CF627" s="1406"/>
      <c r="CG627" s="1406"/>
      <c r="CH627" s="1406">
        <f t="shared" si="9"/>
        <v>0</v>
      </c>
      <c r="CI627" s="1406"/>
      <c r="CJ627" s="1406"/>
      <c r="CK627" s="1406"/>
      <c r="CL627" s="1406"/>
      <c r="CM627" s="1406">
        <f t="shared" si="10"/>
        <v>0</v>
      </c>
      <c r="CN627" s="1406"/>
      <c r="CO627" s="1406"/>
      <c r="CP627" s="1406"/>
      <c r="CQ627" s="1406"/>
      <c r="CR627" s="6"/>
      <c r="CS627" s="1400">
        <f t="shared" si="11"/>
        <v>0</v>
      </c>
      <c r="CT627" s="1400"/>
      <c r="CU627" s="1400"/>
      <c r="CV627" s="1400"/>
      <c r="CW627" s="1400"/>
      <c r="CX627" s="1400">
        <f t="shared" si="12"/>
        <v>0</v>
      </c>
      <c r="CY627" s="1400"/>
      <c r="CZ627" s="1400"/>
      <c r="DA627" s="1400"/>
      <c r="DB627" s="1400"/>
      <c r="DC627" s="1400">
        <f t="shared" si="13"/>
        <v>0</v>
      </c>
      <c r="DD627" s="1400"/>
      <c r="DE627" s="1400"/>
      <c r="DF627" s="1400"/>
      <c r="DG627" s="1400"/>
      <c r="DH627" s="1400">
        <f t="shared" si="14"/>
        <v>0</v>
      </c>
      <c r="DI627" s="1400"/>
      <c r="DJ627" s="1400"/>
      <c r="DK627" s="1400"/>
      <c r="DL627" s="1400"/>
      <c r="DM627" s="1400">
        <f t="shared" si="15"/>
        <v>0</v>
      </c>
      <c r="DN627" s="1400"/>
      <c r="DO627" s="1400"/>
      <c r="DP627" s="1400"/>
      <c r="DQ627" s="1400"/>
      <c r="DR627" s="1400">
        <f t="shared" si="16"/>
        <v>0</v>
      </c>
      <c r="DS627" s="1400"/>
      <c r="DT627" s="1400"/>
      <c r="DU627" s="1400"/>
      <c r="DV627" s="1400"/>
      <c r="DX627" s="1361" t="str">
        <f t="shared" si="17"/>
        <v/>
      </c>
      <c r="DY627" s="1362"/>
      <c r="DZ627" s="1362"/>
      <c r="EA627" s="1362"/>
      <c r="EB627" s="1363"/>
      <c r="EC627" s="1361" t="str">
        <f t="shared" si="18"/>
        <v/>
      </c>
      <c r="ED627" s="1362"/>
      <c r="EE627" s="1362"/>
      <c r="EF627" s="1362"/>
      <c r="EG627" s="1363"/>
      <c r="EH627" s="1361" t="str">
        <f t="shared" si="19"/>
        <v/>
      </c>
      <c r="EI627" s="1362"/>
      <c r="EJ627" s="1362"/>
      <c r="EK627" s="1362"/>
      <c r="EL627" s="1363"/>
      <c r="EM627" s="1361" t="str">
        <f t="shared" si="20"/>
        <v/>
      </c>
      <c r="EN627" s="1362"/>
      <c r="EO627" s="1362"/>
      <c r="EP627" s="1362"/>
      <c r="EQ627" s="1363"/>
      <c r="ER627" s="1361" t="str">
        <f t="shared" si="21"/>
        <v/>
      </c>
      <c r="ES627" s="1362"/>
      <c r="ET627" s="1362"/>
      <c r="EU627" s="1362"/>
      <c r="EV627" s="1363"/>
      <c r="EW627" s="1361" t="str">
        <f t="shared" si="22"/>
        <v/>
      </c>
      <c r="EX627" s="1362"/>
      <c r="EY627" s="1362"/>
      <c r="EZ627" s="1362"/>
      <c r="FA627" s="1363"/>
    </row>
    <row r="628" spans="2:157" ht="12.9" customHeight="1">
      <c r="B628" s="52" t="s">
        <v>113</v>
      </c>
      <c r="C628" s="1571" t="s">
        <v>2721</v>
      </c>
      <c r="D628" s="1571"/>
      <c r="E628" s="1571"/>
      <c r="F628" s="1571"/>
      <c r="G628" s="1571"/>
      <c r="H628" s="1571"/>
      <c r="I628" s="1571"/>
      <c r="J628" s="1571"/>
      <c r="K628" s="1571"/>
      <c r="L628" s="1571"/>
      <c r="M628" s="1697" t="s">
        <v>2432</v>
      </c>
      <c r="N628" s="1697"/>
      <c r="O628" s="1697"/>
      <c r="P628" s="1697"/>
      <c r="Q628" s="1573">
        <v>660</v>
      </c>
      <c r="R628" s="1543"/>
      <c r="S628" s="1574"/>
      <c r="T628" s="1573"/>
      <c r="U628" s="1543"/>
      <c r="V628" s="1574"/>
      <c r="W628" s="1568">
        <v>0.04</v>
      </c>
      <c r="X628" s="1569"/>
      <c r="Y628" s="1570"/>
      <c r="Z628" s="1501" t="s">
        <v>465</v>
      </c>
      <c r="AA628" s="1502"/>
      <c r="AB628" s="1503"/>
      <c r="AC628" s="1455">
        <v>2</v>
      </c>
      <c r="AD628" s="1456"/>
      <c r="AE628" s="1457"/>
      <c r="AF628" s="1577"/>
      <c r="AG628" s="1578"/>
      <c r="AH628" s="1578"/>
      <c r="AI628" s="1578"/>
      <c r="AJ628" s="1579"/>
      <c r="AK628" s="1698"/>
      <c r="AL628" s="1699"/>
      <c r="AM628" s="1699"/>
      <c r="AN628" s="1700"/>
      <c r="AO628" s="1590">
        <v>5157949</v>
      </c>
      <c r="AP628" s="1591"/>
      <c r="AQ628" s="1591"/>
      <c r="AR628" s="1591"/>
      <c r="AS628" s="1592"/>
      <c r="AT628" s="1192" t="str">
        <f>IF(AND(NOT(C627=""),C628="",NOT(C629="")),"!","")</f>
        <v/>
      </c>
      <c r="AU628" s="3"/>
      <c r="AZ628" s="3"/>
      <c r="BA628" s="3"/>
      <c r="BB628" s="3"/>
      <c r="BC628" s="3"/>
      <c r="BD628" s="3"/>
      <c r="BE628" s="1361">
        <f t="shared" si="1"/>
        <v>0</v>
      </c>
      <c r="BF628" s="1363"/>
      <c r="BG628" s="1404">
        <f t="shared" si="2"/>
        <v>0</v>
      </c>
      <c r="BH628" s="1405"/>
      <c r="BI628" s="1361">
        <f t="shared" si="3"/>
        <v>0</v>
      </c>
      <c r="BJ628" s="1363"/>
      <c r="BK628" s="1404">
        <f t="shared" si="4"/>
        <v>0</v>
      </c>
      <c r="BL628" s="1405"/>
      <c r="BM628" s="3"/>
      <c r="BN628" s="1401">
        <f t="shared" si="5"/>
        <v>0</v>
      </c>
      <c r="BO628" s="1402"/>
      <c r="BP628" s="1402"/>
      <c r="BQ628" s="1402"/>
      <c r="BR628" s="1403"/>
      <c r="BS628" s="1406">
        <f t="shared" si="6"/>
        <v>0</v>
      </c>
      <c r="BT628" s="1406"/>
      <c r="BU628" s="1406"/>
      <c r="BV628" s="1406"/>
      <c r="BW628" s="1406"/>
      <c r="BX628" s="1406">
        <f t="shared" si="7"/>
        <v>0</v>
      </c>
      <c r="BY628" s="1406"/>
      <c r="BZ628" s="1406"/>
      <c r="CA628" s="1406"/>
      <c r="CB628" s="1406"/>
      <c r="CC628" s="1406">
        <f t="shared" si="8"/>
        <v>0</v>
      </c>
      <c r="CD628" s="1406"/>
      <c r="CE628" s="1406"/>
      <c r="CF628" s="1406"/>
      <c r="CG628" s="1406"/>
      <c r="CH628" s="1406">
        <f t="shared" si="9"/>
        <v>0</v>
      </c>
      <c r="CI628" s="1406"/>
      <c r="CJ628" s="1406"/>
      <c r="CK628" s="1406"/>
      <c r="CL628" s="1406"/>
      <c r="CM628" s="1406">
        <f t="shared" si="10"/>
        <v>0</v>
      </c>
      <c r="CN628" s="1406"/>
      <c r="CO628" s="1406"/>
      <c r="CP628" s="1406"/>
      <c r="CQ628" s="1406"/>
      <c r="CR628" s="6"/>
      <c r="CS628" s="1400">
        <f t="shared" si="11"/>
        <v>0</v>
      </c>
      <c r="CT628" s="1400"/>
      <c r="CU628" s="1400"/>
      <c r="CV628" s="1400"/>
      <c r="CW628" s="1400"/>
      <c r="CX628" s="1400">
        <f t="shared" si="12"/>
        <v>0</v>
      </c>
      <c r="CY628" s="1400"/>
      <c r="CZ628" s="1400"/>
      <c r="DA628" s="1400"/>
      <c r="DB628" s="1400"/>
      <c r="DC628" s="1400">
        <f t="shared" si="13"/>
        <v>0</v>
      </c>
      <c r="DD628" s="1400"/>
      <c r="DE628" s="1400"/>
      <c r="DF628" s="1400"/>
      <c r="DG628" s="1400"/>
      <c r="DH628" s="1400">
        <f t="shared" si="14"/>
        <v>0</v>
      </c>
      <c r="DI628" s="1400"/>
      <c r="DJ628" s="1400"/>
      <c r="DK628" s="1400"/>
      <c r="DL628" s="1400"/>
      <c r="DM628" s="1400">
        <f t="shared" si="15"/>
        <v>0</v>
      </c>
      <c r="DN628" s="1400"/>
      <c r="DO628" s="1400"/>
      <c r="DP628" s="1400"/>
      <c r="DQ628" s="1400"/>
      <c r="DR628" s="1400">
        <f t="shared" si="16"/>
        <v>0</v>
      </c>
      <c r="DS628" s="1400"/>
      <c r="DT628" s="1400"/>
      <c r="DU628" s="1400"/>
      <c r="DV628" s="1400"/>
      <c r="DX628" s="1361" t="str">
        <f t="shared" si="17"/>
        <v/>
      </c>
      <c r="DY628" s="1362"/>
      <c r="DZ628" s="1362"/>
      <c r="EA628" s="1362"/>
      <c r="EB628" s="1363"/>
      <c r="EC628" s="1361" t="str">
        <f t="shared" si="18"/>
        <v/>
      </c>
      <c r="ED628" s="1362"/>
      <c r="EE628" s="1362"/>
      <c r="EF628" s="1362"/>
      <c r="EG628" s="1363"/>
      <c r="EH628" s="1361" t="str">
        <f t="shared" si="19"/>
        <v/>
      </c>
      <c r="EI628" s="1362"/>
      <c r="EJ628" s="1362"/>
      <c r="EK628" s="1362"/>
      <c r="EL628" s="1363"/>
      <c r="EM628" s="1361" t="str">
        <f t="shared" si="20"/>
        <v/>
      </c>
      <c r="EN628" s="1362"/>
      <c r="EO628" s="1362"/>
      <c r="EP628" s="1362"/>
      <c r="EQ628" s="1363"/>
      <c r="ER628" s="1361" t="str">
        <f t="shared" si="21"/>
        <v/>
      </c>
      <c r="ES628" s="1362"/>
      <c r="ET628" s="1362"/>
      <c r="EU628" s="1362"/>
      <c r="EV628" s="1363"/>
      <c r="EW628" s="1361" t="str">
        <f t="shared" si="22"/>
        <v/>
      </c>
      <c r="EX628" s="1362"/>
      <c r="EY628" s="1362"/>
      <c r="EZ628" s="1362"/>
      <c r="FA628" s="1363"/>
    </row>
    <row r="629" spans="2:157" ht="12.9" customHeight="1">
      <c r="B629" s="52" t="s">
        <v>119</v>
      </c>
      <c r="C629" s="1571" t="s">
        <v>2643</v>
      </c>
      <c r="D629" s="1571"/>
      <c r="E629" s="1571"/>
      <c r="F629" s="1571"/>
      <c r="G629" s="1571"/>
      <c r="H629" s="1571"/>
      <c r="I629" s="1571"/>
      <c r="J629" s="1571"/>
      <c r="K629" s="1571"/>
      <c r="L629" s="1571"/>
      <c r="M629" s="1697" t="s">
        <v>2432</v>
      </c>
      <c r="N629" s="1697"/>
      <c r="O629" s="1697"/>
      <c r="P629" s="1697"/>
      <c r="Q629" s="1573">
        <v>660</v>
      </c>
      <c r="R629" s="1543"/>
      <c r="S629" s="1574"/>
      <c r="T629" s="1573"/>
      <c r="U629" s="1543"/>
      <c r="V629" s="1574"/>
      <c r="W629" s="1568">
        <v>0.04</v>
      </c>
      <c r="X629" s="1569"/>
      <c r="Y629" s="1570"/>
      <c r="Z629" s="1501" t="s">
        <v>465</v>
      </c>
      <c r="AA629" s="1502"/>
      <c r="AB629" s="1503"/>
      <c r="AC629" s="1455">
        <v>3</v>
      </c>
      <c r="AD629" s="1456"/>
      <c r="AE629" s="1457"/>
      <c r="AF629" s="1577"/>
      <c r="AG629" s="1578"/>
      <c r="AH629" s="1578"/>
      <c r="AI629" s="1578"/>
      <c r="AJ629" s="1579"/>
      <c r="AK629" s="1698"/>
      <c r="AL629" s="1699"/>
      <c r="AM629" s="1699"/>
      <c r="AN629" s="1700"/>
      <c r="AO629" s="1590">
        <v>5500000</v>
      </c>
      <c r="AP629" s="1591"/>
      <c r="AQ629" s="1591"/>
      <c r="AR629" s="1591"/>
      <c r="AS629" s="1592"/>
      <c r="AT629" s="1192" t="str">
        <f t="shared" ref="AT629:AT638" si="23">IF(AND(NOT(C628=""),C629="",NOT(C630="")),"!","")</f>
        <v/>
      </c>
      <c r="AU629" s="3"/>
      <c r="AZ629" s="3"/>
      <c r="BA629" s="3"/>
      <c r="BB629" s="3"/>
      <c r="BC629" s="3"/>
      <c r="BD629" s="3"/>
      <c r="BE629" s="1361">
        <f t="shared" si="1"/>
        <v>0</v>
      </c>
      <c r="BF629" s="1363"/>
      <c r="BG629" s="1404">
        <f t="shared" si="2"/>
        <v>0</v>
      </c>
      <c r="BH629" s="1405"/>
      <c r="BI629" s="1361">
        <f t="shared" si="3"/>
        <v>0</v>
      </c>
      <c r="BJ629" s="1363"/>
      <c r="BK629" s="1404">
        <f t="shared" si="4"/>
        <v>0</v>
      </c>
      <c r="BL629" s="1405"/>
      <c r="BM629" s="3"/>
      <c r="BN629" s="1401">
        <f t="shared" si="5"/>
        <v>0</v>
      </c>
      <c r="BO629" s="1402"/>
      <c r="BP629" s="1402"/>
      <c r="BQ629" s="1402"/>
      <c r="BR629" s="1403"/>
      <c r="BS629" s="1406">
        <f t="shared" si="6"/>
        <v>0</v>
      </c>
      <c r="BT629" s="1406"/>
      <c r="BU629" s="1406"/>
      <c r="BV629" s="1406"/>
      <c r="BW629" s="1406"/>
      <c r="BX629" s="1406">
        <f t="shared" si="7"/>
        <v>0</v>
      </c>
      <c r="BY629" s="1406"/>
      <c r="BZ629" s="1406"/>
      <c r="CA629" s="1406"/>
      <c r="CB629" s="1406"/>
      <c r="CC629" s="1406">
        <f t="shared" si="8"/>
        <v>0</v>
      </c>
      <c r="CD629" s="1406"/>
      <c r="CE629" s="1406"/>
      <c r="CF629" s="1406"/>
      <c r="CG629" s="1406"/>
      <c r="CH629" s="1406">
        <f t="shared" si="9"/>
        <v>0</v>
      </c>
      <c r="CI629" s="1406"/>
      <c r="CJ629" s="1406"/>
      <c r="CK629" s="1406"/>
      <c r="CL629" s="1406"/>
      <c r="CM629" s="1406">
        <f t="shared" si="10"/>
        <v>0</v>
      </c>
      <c r="CN629" s="1406"/>
      <c r="CO629" s="1406"/>
      <c r="CP629" s="1406"/>
      <c r="CQ629" s="1406"/>
      <c r="CR629" s="6"/>
      <c r="CS629" s="1400">
        <f t="shared" si="11"/>
        <v>0</v>
      </c>
      <c r="CT629" s="1400"/>
      <c r="CU629" s="1400"/>
      <c r="CV629" s="1400"/>
      <c r="CW629" s="1400"/>
      <c r="CX629" s="1400">
        <f t="shared" si="12"/>
        <v>0</v>
      </c>
      <c r="CY629" s="1400"/>
      <c r="CZ629" s="1400"/>
      <c r="DA629" s="1400"/>
      <c r="DB629" s="1400"/>
      <c r="DC629" s="1400">
        <f t="shared" si="13"/>
        <v>0</v>
      </c>
      <c r="DD629" s="1400"/>
      <c r="DE629" s="1400"/>
      <c r="DF629" s="1400"/>
      <c r="DG629" s="1400"/>
      <c r="DH629" s="1400">
        <f t="shared" si="14"/>
        <v>0</v>
      </c>
      <c r="DI629" s="1400"/>
      <c r="DJ629" s="1400"/>
      <c r="DK629" s="1400"/>
      <c r="DL629" s="1400"/>
      <c r="DM629" s="1400">
        <f t="shared" si="15"/>
        <v>0</v>
      </c>
      <c r="DN629" s="1400"/>
      <c r="DO629" s="1400"/>
      <c r="DP629" s="1400"/>
      <c r="DQ629" s="1400"/>
      <c r="DR629" s="1400">
        <f t="shared" si="16"/>
        <v>0</v>
      </c>
      <c r="DS629" s="1400"/>
      <c r="DT629" s="1400"/>
      <c r="DU629" s="1400"/>
      <c r="DV629" s="1400"/>
      <c r="DX629" s="1361" t="str">
        <f t="shared" si="17"/>
        <v/>
      </c>
      <c r="DY629" s="1362"/>
      <c r="DZ629" s="1362"/>
      <c r="EA629" s="1362"/>
      <c r="EB629" s="1363"/>
      <c r="EC629" s="1361" t="str">
        <f t="shared" si="18"/>
        <v/>
      </c>
      <c r="ED629" s="1362"/>
      <c r="EE629" s="1362"/>
      <c r="EF629" s="1362"/>
      <c r="EG629" s="1363"/>
      <c r="EH629" s="1361" t="str">
        <f t="shared" si="19"/>
        <v/>
      </c>
      <c r="EI629" s="1362"/>
      <c r="EJ629" s="1362"/>
      <c r="EK629" s="1362"/>
      <c r="EL629" s="1363"/>
      <c r="EM629" s="1361" t="str">
        <f t="shared" si="20"/>
        <v/>
      </c>
      <c r="EN629" s="1362"/>
      <c r="EO629" s="1362"/>
      <c r="EP629" s="1362"/>
      <c r="EQ629" s="1363"/>
      <c r="ER629" s="1361" t="str">
        <f t="shared" si="21"/>
        <v/>
      </c>
      <c r="ES629" s="1362"/>
      <c r="ET629" s="1362"/>
      <c r="EU629" s="1362"/>
      <c r="EV629" s="1363"/>
      <c r="EW629" s="1361" t="str">
        <f t="shared" si="22"/>
        <v/>
      </c>
      <c r="EX629" s="1362"/>
      <c r="EY629" s="1362"/>
      <c r="EZ629" s="1362"/>
      <c r="FA629" s="1363"/>
    </row>
    <row r="630" spans="2:157" ht="12.9" customHeight="1">
      <c r="B630" s="52" t="s">
        <v>589</v>
      </c>
      <c r="C630" s="1572" t="s">
        <v>1848</v>
      </c>
      <c r="D630" s="1572"/>
      <c r="E630" s="1572"/>
      <c r="F630" s="1572"/>
      <c r="G630" s="1572"/>
      <c r="H630" s="1572"/>
      <c r="I630" s="1572"/>
      <c r="J630" s="1572"/>
      <c r="K630" s="1572"/>
      <c r="L630" s="1572"/>
      <c r="M630" s="1697" t="s">
        <v>2423</v>
      </c>
      <c r="N630" s="1697"/>
      <c r="O630" s="1697"/>
      <c r="P630" s="1697"/>
      <c r="Q630" s="1573"/>
      <c r="R630" s="1543"/>
      <c r="S630" s="1574"/>
      <c r="T630" s="1573"/>
      <c r="U630" s="1543"/>
      <c r="V630" s="1574"/>
      <c r="W630" s="1568"/>
      <c r="X630" s="1569"/>
      <c r="Y630" s="1570"/>
      <c r="Z630" s="1501" t="s">
        <v>465</v>
      </c>
      <c r="AA630" s="1502"/>
      <c r="AB630" s="1503"/>
      <c r="AC630" s="1455"/>
      <c r="AD630" s="1456"/>
      <c r="AE630" s="1457"/>
      <c r="AF630" s="1577"/>
      <c r="AG630" s="1578"/>
      <c r="AH630" s="1578"/>
      <c r="AI630" s="1578"/>
      <c r="AJ630" s="1579"/>
      <c r="AK630" s="1698"/>
      <c r="AL630" s="1699"/>
      <c r="AM630" s="1699"/>
      <c r="AN630" s="1700"/>
      <c r="AO630" s="1590">
        <v>7820312</v>
      </c>
      <c r="AP630" s="1591"/>
      <c r="AQ630" s="1591"/>
      <c r="AR630" s="1591"/>
      <c r="AS630" s="1592"/>
      <c r="AT630" s="1192" t="str">
        <f t="shared" si="23"/>
        <v/>
      </c>
      <c r="AU630" s="3"/>
      <c r="AZ630" s="3"/>
      <c r="BA630" s="3"/>
      <c r="BB630" s="3"/>
      <c r="BC630" s="3"/>
      <c r="BD630" s="3"/>
      <c r="BE630" s="1361">
        <f t="shared" si="1"/>
        <v>0</v>
      </c>
      <c r="BF630" s="1363"/>
      <c r="BG630" s="1404">
        <f t="shared" si="2"/>
        <v>0</v>
      </c>
      <c r="BH630" s="1405"/>
      <c r="BI630" s="1361">
        <f t="shared" si="3"/>
        <v>0</v>
      </c>
      <c r="BJ630" s="1363"/>
      <c r="BK630" s="1404">
        <f t="shared" si="4"/>
        <v>0</v>
      </c>
      <c r="BL630" s="1405"/>
      <c r="BM630" s="3"/>
      <c r="BN630" s="1401">
        <f t="shared" si="5"/>
        <v>0</v>
      </c>
      <c r="BO630" s="1402"/>
      <c r="BP630" s="1402"/>
      <c r="BQ630" s="1402"/>
      <c r="BR630" s="1403"/>
      <c r="BS630" s="1406">
        <f t="shared" si="6"/>
        <v>0</v>
      </c>
      <c r="BT630" s="1406"/>
      <c r="BU630" s="1406"/>
      <c r="BV630" s="1406"/>
      <c r="BW630" s="1406"/>
      <c r="BX630" s="1406">
        <f t="shared" si="7"/>
        <v>0</v>
      </c>
      <c r="BY630" s="1406"/>
      <c r="BZ630" s="1406"/>
      <c r="CA630" s="1406"/>
      <c r="CB630" s="1406"/>
      <c r="CC630" s="1406">
        <f t="shared" si="8"/>
        <v>0</v>
      </c>
      <c r="CD630" s="1406"/>
      <c r="CE630" s="1406"/>
      <c r="CF630" s="1406"/>
      <c r="CG630" s="1406"/>
      <c r="CH630" s="1406">
        <f t="shared" si="9"/>
        <v>0</v>
      </c>
      <c r="CI630" s="1406"/>
      <c r="CJ630" s="1406"/>
      <c r="CK630" s="1406"/>
      <c r="CL630" s="1406"/>
      <c r="CM630" s="1406">
        <f t="shared" si="10"/>
        <v>0</v>
      </c>
      <c r="CN630" s="1406"/>
      <c r="CO630" s="1406"/>
      <c r="CP630" s="1406"/>
      <c r="CQ630" s="1406"/>
      <c r="CR630" s="6"/>
      <c r="CS630" s="1400">
        <f t="shared" si="11"/>
        <v>0</v>
      </c>
      <c r="CT630" s="1400"/>
      <c r="CU630" s="1400"/>
      <c r="CV630" s="1400"/>
      <c r="CW630" s="1400"/>
      <c r="CX630" s="1400">
        <f t="shared" si="12"/>
        <v>0</v>
      </c>
      <c r="CY630" s="1400"/>
      <c r="CZ630" s="1400"/>
      <c r="DA630" s="1400"/>
      <c r="DB630" s="1400"/>
      <c r="DC630" s="1400">
        <f t="shared" si="13"/>
        <v>0</v>
      </c>
      <c r="DD630" s="1400"/>
      <c r="DE630" s="1400"/>
      <c r="DF630" s="1400"/>
      <c r="DG630" s="1400"/>
      <c r="DH630" s="1400">
        <f t="shared" si="14"/>
        <v>0</v>
      </c>
      <c r="DI630" s="1400"/>
      <c r="DJ630" s="1400"/>
      <c r="DK630" s="1400"/>
      <c r="DL630" s="1400"/>
      <c r="DM630" s="1400">
        <f t="shared" si="15"/>
        <v>0</v>
      </c>
      <c r="DN630" s="1400"/>
      <c r="DO630" s="1400"/>
      <c r="DP630" s="1400"/>
      <c r="DQ630" s="1400"/>
      <c r="DR630" s="1400">
        <f t="shared" si="16"/>
        <v>0</v>
      </c>
      <c r="DS630" s="1400"/>
      <c r="DT630" s="1400"/>
      <c r="DU630" s="1400"/>
      <c r="DV630" s="1400"/>
      <c r="DX630" s="1361" t="str">
        <f t="shared" si="17"/>
        <v/>
      </c>
      <c r="DY630" s="1362"/>
      <c r="DZ630" s="1362"/>
      <c r="EA630" s="1362"/>
      <c r="EB630" s="1363"/>
      <c r="EC630" s="1361" t="str">
        <f t="shared" si="18"/>
        <v/>
      </c>
      <c r="ED630" s="1362"/>
      <c r="EE630" s="1362"/>
      <c r="EF630" s="1362"/>
      <c r="EG630" s="1363"/>
      <c r="EH630" s="1361" t="str">
        <f t="shared" si="19"/>
        <v/>
      </c>
      <c r="EI630" s="1362"/>
      <c r="EJ630" s="1362"/>
      <c r="EK630" s="1362"/>
      <c r="EL630" s="1363"/>
      <c r="EM630" s="1361" t="str">
        <f t="shared" si="20"/>
        <v/>
      </c>
      <c r="EN630" s="1362"/>
      <c r="EO630" s="1362"/>
      <c r="EP630" s="1362"/>
      <c r="EQ630" s="1363"/>
      <c r="ER630" s="1361" t="str">
        <f t="shared" si="21"/>
        <v/>
      </c>
      <c r="ES630" s="1362"/>
      <c r="ET630" s="1362"/>
      <c r="EU630" s="1362"/>
      <c r="EV630" s="1363"/>
      <c r="EW630" s="1361" t="str">
        <f t="shared" si="22"/>
        <v/>
      </c>
      <c r="EX630" s="1362"/>
      <c r="EY630" s="1362"/>
      <c r="EZ630" s="1362"/>
      <c r="FA630" s="1363"/>
    </row>
    <row r="631" spans="2:157" ht="12.9" customHeight="1">
      <c r="B631" s="52" t="s">
        <v>772</v>
      </c>
      <c r="C631" s="1571" t="s">
        <v>2714</v>
      </c>
      <c r="D631" s="1572"/>
      <c r="E631" s="1572"/>
      <c r="F631" s="1572"/>
      <c r="G631" s="1572"/>
      <c r="H631" s="1572"/>
      <c r="I631" s="1572"/>
      <c r="J631" s="1572"/>
      <c r="K631" s="1572"/>
      <c r="L631" s="1572"/>
      <c r="M631" s="1697" t="s">
        <v>2433</v>
      </c>
      <c r="N631" s="1697"/>
      <c r="O631" s="1697"/>
      <c r="P631" s="1697"/>
      <c r="Q631" s="1573">
        <v>660</v>
      </c>
      <c r="R631" s="1543"/>
      <c r="S631" s="1574"/>
      <c r="T631" s="1573"/>
      <c r="U631" s="1543"/>
      <c r="V631" s="1574"/>
      <c r="W631" s="1568">
        <v>0.04</v>
      </c>
      <c r="X631" s="1569"/>
      <c r="Y631" s="1570"/>
      <c r="Z631" s="1501" t="s">
        <v>465</v>
      </c>
      <c r="AA631" s="1502"/>
      <c r="AB631" s="1503"/>
      <c r="AC631" s="1455">
        <v>4</v>
      </c>
      <c r="AD631" s="1456"/>
      <c r="AE631" s="1457"/>
      <c r="AF631" s="1577"/>
      <c r="AG631" s="1578"/>
      <c r="AH631" s="1578"/>
      <c r="AI631" s="1578"/>
      <c r="AJ631" s="1579"/>
      <c r="AK631" s="1698"/>
      <c r="AL631" s="1699"/>
      <c r="AM631" s="1699"/>
      <c r="AN631" s="1700"/>
      <c r="AO631" s="1590">
        <v>1280000</v>
      </c>
      <c r="AP631" s="1591"/>
      <c r="AQ631" s="1591"/>
      <c r="AR631" s="1591"/>
      <c r="AS631" s="1592"/>
      <c r="AT631" s="1192" t="str">
        <f t="shared" si="23"/>
        <v/>
      </c>
      <c r="AU631" s="3"/>
      <c r="AZ631" s="3"/>
      <c r="BA631" s="3"/>
      <c r="BB631" s="3"/>
      <c r="BC631" s="3"/>
      <c r="BD631" s="3"/>
      <c r="BE631" s="1361">
        <f t="shared" si="1"/>
        <v>0</v>
      </c>
      <c r="BF631" s="1363"/>
      <c r="BG631" s="1404">
        <f t="shared" si="2"/>
        <v>0</v>
      </c>
      <c r="BH631" s="1405"/>
      <c r="BI631" s="1361">
        <f t="shared" si="3"/>
        <v>0</v>
      </c>
      <c r="BJ631" s="1363"/>
      <c r="BK631" s="1404">
        <f t="shared" si="4"/>
        <v>0</v>
      </c>
      <c r="BL631" s="1405"/>
      <c r="BM631" s="3"/>
      <c r="BN631" s="1401">
        <f t="shared" si="5"/>
        <v>0</v>
      </c>
      <c r="BO631" s="1402"/>
      <c r="BP631" s="1402"/>
      <c r="BQ631" s="1402"/>
      <c r="BR631" s="1403"/>
      <c r="BS631" s="1406">
        <f t="shared" si="6"/>
        <v>0</v>
      </c>
      <c r="BT631" s="1406"/>
      <c r="BU631" s="1406"/>
      <c r="BV631" s="1406"/>
      <c r="BW631" s="1406"/>
      <c r="BX631" s="1406">
        <f t="shared" si="7"/>
        <v>0</v>
      </c>
      <c r="BY631" s="1406"/>
      <c r="BZ631" s="1406"/>
      <c r="CA631" s="1406"/>
      <c r="CB631" s="1406"/>
      <c r="CC631" s="1406">
        <f t="shared" si="8"/>
        <v>0</v>
      </c>
      <c r="CD631" s="1406"/>
      <c r="CE631" s="1406"/>
      <c r="CF631" s="1406"/>
      <c r="CG631" s="1406"/>
      <c r="CH631" s="1406">
        <f t="shared" si="9"/>
        <v>0</v>
      </c>
      <c r="CI631" s="1406"/>
      <c r="CJ631" s="1406"/>
      <c r="CK631" s="1406"/>
      <c r="CL631" s="1406"/>
      <c r="CM631" s="1406">
        <f t="shared" si="10"/>
        <v>0</v>
      </c>
      <c r="CN631" s="1406"/>
      <c r="CO631" s="1406"/>
      <c r="CP631" s="1406"/>
      <c r="CQ631" s="1406"/>
      <c r="CR631" s="6"/>
      <c r="CS631" s="1400">
        <f t="shared" si="11"/>
        <v>0</v>
      </c>
      <c r="CT631" s="1400"/>
      <c r="CU631" s="1400"/>
      <c r="CV631" s="1400"/>
      <c r="CW631" s="1400"/>
      <c r="CX631" s="1400">
        <f t="shared" si="12"/>
        <v>0</v>
      </c>
      <c r="CY631" s="1400"/>
      <c r="CZ631" s="1400"/>
      <c r="DA631" s="1400"/>
      <c r="DB631" s="1400"/>
      <c r="DC631" s="1400">
        <f t="shared" si="13"/>
        <v>0</v>
      </c>
      <c r="DD631" s="1400"/>
      <c r="DE631" s="1400"/>
      <c r="DF631" s="1400"/>
      <c r="DG631" s="1400"/>
      <c r="DH631" s="1400">
        <f t="shared" si="14"/>
        <v>0</v>
      </c>
      <c r="DI631" s="1400"/>
      <c r="DJ631" s="1400"/>
      <c r="DK631" s="1400"/>
      <c r="DL631" s="1400"/>
      <c r="DM631" s="1400">
        <f t="shared" si="15"/>
        <v>0</v>
      </c>
      <c r="DN631" s="1400"/>
      <c r="DO631" s="1400"/>
      <c r="DP631" s="1400"/>
      <c r="DQ631" s="1400"/>
      <c r="DR631" s="1400">
        <f t="shared" si="16"/>
        <v>0</v>
      </c>
      <c r="DS631" s="1400"/>
      <c r="DT631" s="1400"/>
      <c r="DU631" s="1400"/>
      <c r="DV631" s="1400"/>
      <c r="DX631" s="1361" t="str">
        <f t="shared" si="17"/>
        <v/>
      </c>
      <c r="DY631" s="1362"/>
      <c r="DZ631" s="1362"/>
      <c r="EA631" s="1362"/>
      <c r="EB631" s="1363"/>
      <c r="EC631" s="1361" t="str">
        <f t="shared" si="18"/>
        <v/>
      </c>
      <c r="ED631" s="1362"/>
      <c r="EE631" s="1362"/>
      <c r="EF631" s="1362"/>
      <c r="EG631" s="1363"/>
      <c r="EH631" s="1361" t="str">
        <f t="shared" si="19"/>
        <v/>
      </c>
      <c r="EI631" s="1362"/>
      <c r="EJ631" s="1362"/>
      <c r="EK631" s="1362"/>
      <c r="EL631" s="1363"/>
      <c r="EM631" s="1361" t="str">
        <f t="shared" si="20"/>
        <v/>
      </c>
      <c r="EN631" s="1362"/>
      <c r="EO631" s="1362"/>
      <c r="EP631" s="1362"/>
      <c r="EQ631" s="1363"/>
      <c r="ER631" s="1361" t="str">
        <f t="shared" si="21"/>
        <v/>
      </c>
      <c r="ES631" s="1362"/>
      <c r="ET631" s="1362"/>
      <c r="EU631" s="1362"/>
      <c r="EV631" s="1363"/>
      <c r="EW631" s="1361" t="str">
        <f t="shared" si="22"/>
        <v/>
      </c>
      <c r="EX631" s="1362"/>
      <c r="EY631" s="1362"/>
      <c r="EZ631" s="1362"/>
      <c r="FA631" s="1363"/>
    </row>
    <row r="632" spans="2:157" ht="12.9" customHeight="1">
      <c r="B632" s="52" t="s">
        <v>592</v>
      </c>
      <c r="C632" s="1572"/>
      <c r="D632" s="1572"/>
      <c r="E632" s="1572"/>
      <c r="F632" s="1572"/>
      <c r="G632" s="1572"/>
      <c r="H632" s="1572"/>
      <c r="I632" s="1572"/>
      <c r="J632" s="1572"/>
      <c r="K632" s="1572"/>
      <c r="L632" s="1572"/>
      <c r="M632" s="1697" t="s">
        <v>1290</v>
      </c>
      <c r="N632" s="1697"/>
      <c r="O632" s="1697"/>
      <c r="P632" s="1697"/>
      <c r="Q632" s="1573"/>
      <c r="R632" s="1543"/>
      <c r="S632" s="1574"/>
      <c r="T632" s="1573"/>
      <c r="U632" s="1543"/>
      <c r="V632" s="1574"/>
      <c r="W632" s="1568"/>
      <c r="X632" s="1569"/>
      <c r="Y632" s="1570"/>
      <c r="Z632" s="1501" t="s">
        <v>1290</v>
      </c>
      <c r="AA632" s="1502"/>
      <c r="AB632" s="1503"/>
      <c r="AC632" s="1455"/>
      <c r="AD632" s="1456"/>
      <c r="AE632" s="1457"/>
      <c r="AF632" s="1577"/>
      <c r="AG632" s="1578"/>
      <c r="AH632" s="1578"/>
      <c r="AI632" s="1578"/>
      <c r="AJ632" s="1579"/>
      <c r="AK632" s="1698"/>
      <c r="AL632" s="1699"/>
      <c r="AM632" s="1699"/>
      <c r="AN632" s="1700"/>
      <c r="AO632" s="1590"/>
      <c r="AP632" s="1591"/>
      <c r="AQ632" s="1591"/>
      <c r="AR632" s="1591"/>
      <c r="AS632" s="1592"/>
      <c r="AT632" s="1192" t="str">
        <f t="shared" si="23"/>
        <v/>
      </c>
      <c r="AU632" s="3"/>
      <c r="AZ632" s="3"/>
      <c r="BA632" s="3"/>
      <c r="BB632" s="3"/>
      <c r="BC632" s="3"/>
      <c r="BD632" s="3"/>
      <c r="BE632" s="3"/>
      <c r="BF632" s="3"/>
      <c r="BG632" s="1361">
        <f>SUM(BG597:BH631)</f>
        <v>36</v>
      </c>
      <c r="BH632" s="1363"/>
      <c r="BI632" s="3"/>
      <c r="BJ632" s="3"/>
      <c r="BK632" s="1361">
        <f>SUM(BK597:BL631)</f>
        <v>18</v>
      </c>
      <c r="BL632" s="1363"/>
      <c r="BM632" s="3"/>
      <c r="BN632" s="1361">
        <f>SUM(BN597:BR631)</f>
        <v>0</v>
      </c>
      <c r="BO632" s="1362"/>
      <c r="BP632" s="1362"/>
      <c r="BQ632" s="1362"/>
      <c r="BR632" s="1363"/>
      <c r="BS632" s="1399">
        <f>SUM(BS597:BW631)</f>
        <v>60</v>
      </c>
      <c r="BT632" s="1399"/>
      <c r="BU632" s="1399"/>
      <c r="BV632" s="1399"/>
      <c r="BW632" s="1399"/>
      <c r="BX632" s="1399">
        <f>SUM(BX597:CB631)</f>
        <v>31</v>
      </c>
      <c r="BY632" s="1399"/>
      <c r="BZ632" s="1399"/>
      <c r="CA632" s="1399"/>
      <c r="CB632" s="1399"/>
      <c r="CC632" s="1399">
        <f>SUM(CC597:CG631)</f>
        <v>55</v>
      </c>
      <c r="CD632" s="1399"/>
      <c r="CE632" s="1399"/>
      <c r="CF632" s="1399"/>
      <c r="CG632" s="1399"/>
      <c r="CH632" s="1399">
        <f>SUM(CH597:CL631)</f>
        <v>18</v>
      </c>
      <c r="CI632" s="1399"/>
      <c r="CJ632" s="1399"/>
      <c r="CK632" s="1399"/>
      <c r="CL632" s="1399"/>
      <c r="CM632" s="1399">
        <f>SUM(CM597:CQ631)</f>
        <v>0</v>
      </c>
      <c r="CN632" s="1399"/>
      <c r="CO632" s="1399"/>
      <c r="CP632" s="1399"/>
      <c r="CQ632" s="1399"/>
      <c r="CR632" s="385"/>
      <c r="CS632" s="1399">
        <f>SUM(CS597:CW631)</f>
        <v>0</v>
      </c>
      <c r="CT632" s="1399"/>
      <c r="CU632" s="1399"/>
      <c r="CV632" s="1399"/>
      <c r="CW632" s="1399"/>
      <c r="CX632" s="1399">
        <f>SUM(CX597:DB631)</f>
        <v>6</v>
      </c>
      <c r="CY632" s="1399"/>
      <c r="CZ632" s="1399"/>
      <c r="DA632" s="1399"/>
      <c r="DB632" s="1399"/>
      <c r="DC632" s="1399">
        <f>SUM(DC597:DG631)</f>
        <v>4</v>
      </c>
      <c r="DD632" s="1399"/>
      <c r="DE632" s="1399"/>
      <c r="DF632" s="1399"/>
      <c r="DG632" s="1399"/>
      <c r="DH632" s="1399">
        <f>SUM(DH597:DL631)</f>
        <v>6</v>
      </c>
      <c r="DI632" s="1399"/>
      <c r="DJ632" s="1399"/>
      <c r="DK632" s="1399"/>
      <c r="DL632" s="1399"/>
      <c r="DM632" s="1399">
        <f>SUM(DM597:DQ631)</f>
        <v>2</v>
      </c>
      <c r="DN632" s="1399"/>
      <c r="DO632" s="1399"/>
      <c r="DP632" s="1399"/>
      <c r="DQ632" s="1399"/>
      <c r="DR632" s="1399">
        <f>SUM(DR597:DV631)</f>
        <v>0</v>
      </c>
      <c r="DS632" s="1399"/>
      <c r="DT632" s="1399"/>
      <c r="DU632" s="1399"/>
      <c r="DV632" s="1399"/>
      <c r="DX632" s="1399">
        <f>SUM(DX597:EB631)</f>
        <v>0</v>
      </c>
      <c r="DY632" s="1399"/>
      <c r="DZ632" s="1399"/>
      <c r="EA632" s="1399"/>
      <c r="EB632" s="1399"/>
      <c r="EC632" s="1399">
        <f>SUM(EC597:EG631)</f>
        <v>6558</v>
      </c>
      <c r="ED632" s="1399"/>
      <c r="EE632" s="1399"/>
      <c r="EF632" s="1399"/>
      <c r="EG632" s="1399"/>
      <c r="EH632" s="1399">
        <f>SUM(EH597:EL631)</f>
        <v>7796</v>
      </c>
      <c r="EI632" s="1399"/>
      <c r="EJ632" s="1399"/>
      <c r="EK632" s="1399"/>
      <c r="EL632" s="1399"/>
      <c r="EM632" s="1399">
        <f>SUM(EM597:EQ631)</f>
        <v>8930</v>
      </c>
      <c r="EN632" s="1399"/>
      <c r="EO632" s="1399"/>
      <c r="EP632" s="1399"/>
      <c r="EQ632" s="1399"/>
      <c r="ER632" s="1399">
        <f>SUM(ER597:EV631)</f>
        <v>8874</v>
      </c>
      <c r="ES632" s="1399"/>
      <c r="ET632" s="1399"/>
      <c r="EU632" s="1399"/>
      <c r="EV632" s="1399"/>
      <c r="EW632" s="1399">
        <f>SUM(EW597:FA631)</f>
        <v>0</v>
      </c>
      <c r="EX632" s="1399"/>
      <c r="EY632" s="1399"/>
      <c r="EZ632" s="1399"/>
      <c r="FA632" s="1399"/>
    </row>
    <row r="633" spans="2:157" ht="12.9" customHeight="1">
      <c r="B633" s="52" t="s">
        <v>463</v>
      </c>
      <c r="C633" s="1572"/>
      <c r="D633" s="1572"/>
      <c r="E633" s="1572"/>
      <c r="F633" s="1572"/>
      <c r="G633" s="1572"/>
      <c r="H633" s="1572"/>
      <c r="I633" s="1572"/>
      <c r="J633" s="1572"/>
      <c r="K633" s="1572"/>
      <c r="L633" s="1572"/>
      <c r="M633" s="1697" t="s">
        <v>1290</v>
      </c>
      <c r="N633" s="1697"/>
      <c r="O633" s="1697"/>
      <c r="P633" s="1697"/>
      <c r="Q633" s="1573"/>
      <c r="R633" s="1543"/>
      <c r="S633" s="1574"/>
      <c r="T633" s="1573"/>
      <c r="U633" s="1543"/>
      <c r="V633" s="1574"/>
      <c r="W633" s="1568"/>
      <c r="X633" s="1569"/>
      <c r="Y633" s="1570"/>
      <c r="Z633" s="1501" t="s">
        <v>1290</v>
      </c>
      <c r="AA633" s="1502"/>
      <c r="AB633" s="1503"/>
      <c r="AC633" s="1455"/>
      <c r="AD633" s="1456"/>
      <c r="AE633" s="1457"/>
      <c r="AF633" s="1577"/>
      <c r="AG633" s="1578"/>
      <c r="AH633" s="1578"/>
      <c r="AI633" s="1578"/>
      <c r="AJ633" s="1579"/>
      <c r="AK633" s="1698"/>
      <c r="AL633" s="1699"/>
      <c r="AM633" s="1699"/>
      <c r="AN633" s="1700"/>
      <c r="AO633" s="1590"/>
      <c r="AP633" s="1591"/>
      <c r="AQ633" s="1591"/>
      <c r="AR633" s="1591"/>
      <c r="AS633" s="1592"/>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361">
        <f>BN632+BS632+BX632+CC632+CH632+CM632</f>
        <v>164</v>
      </c>
      <c r="CN633" s="1362"/>
      <c r="CO633" s="1362"/>
      <c r="CP633" s="1362"/>
      <c r="CQ633" s="1363"/>
      <c r="CR633" s="385"/>
      <c r="CS633" s="3"/>
      <c r="CT633" s="3"/>
      <c r="CU633" s="3"/>
      <c r="CV633" s="3"/>
      <c r="CW633" s="3"/>
      <c r="CX633" s="3"/>
      <c r="CY633" s="3"/>
      <c r="CZ633" s="3"/>
      <c r="DA633" s="3"/>
      <c r="DB633" s="3"/>
      <c r="DC633" s="3"/>
      <c r="DD633" s="3"/>
      <c r="DE633" s="3"/>
      <c r="DF633" s="3"/>
    </row>
    <row r="634" spans="2:157" ht="12.9" customHeight="1">
      <c r="B634" s="52" t="s">
        <v>464</v>
      </c>
      <c r="C634" s="1572"/>
      <c r="D634" s="1572"/>
      <c r="E634" s="1572"/>
      <c r="F634" s="1572"/>
      <c r="G634" s="1572"/>
      <c r="H634" s="1572"/>
      <c r="I634" s="1572"/>
      <c r="J634" s="1572"/>
      <c r="K634" s="1572"/>
      <c r="L634" s="1572"/>
      <c r="M634" s="1697" t="s">
        <v>1290</v>
      </c>
      <c r="N634" s="1697"/>
      <c r="O634" s="1697"/>
      <c r="P634" s="1697"/>
      <c r="Q634" s="1573"/>
      <c r="R634" s="1543"/>
      <c r="S634" s="1574"/>
      <c r="T634" s="1573"/>
      <c r="U634" s="1543"/>
      <c r="V634" s="1574"/>
      <c r="W634" s="1568"/>
      <c r="X634" s="1569"/>
      <c r="Y634" s="1570"/>
      <c r="Z634" s="1501" t="s">
        <v>1290</v>
      </c>
      <c r="AA634" s="1502"/>
      <c r="AB634" s="1503"/>
      <c r="AC634" s="1455"/>
      <c r="AD634" s="1456"/>
      <c r="AE634" s="1457"/>
      <c r="AF634" s="1577"/>
      <c r="AG634" s="1578"/>
      <c r="AH634" s="1578"/>
      <c r="AI634" s="1578"/>
      <c r="AJ634" s="1579"/>
      <c r="AK634" s="1698"/>
      <c r="AL634" s="1699"/>
      <c r="AM634" s="1699"/>
      <c r="AN634" s="1700"/>
      <c r="AO634" s="1590"/>
      <c r="AP634" s="1591"/>
      <c r="AQ634" s="1591"/>
      <c r="AR634" s="1591"/>
      <c r="AS634" s="1592"/>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60</v>
      </c>
      <c r="BX634" s="3"/>
      <c r="BY634" s="3"/>
      <c r="BZ634" s="3"/>
      <c r="CA634" s="3"/>
      <c r="CB634" s="895">
        <f>BX632*2</f>
        <v>62</v>
      </c>
      <c r="CC634" s="3"/>
      <c r="CD634" s="3"/>
      <c r="CE634" s="3"/>
      <c r="CF634" s="3"/>
      <c r="CG634" s="895">
        <f>CC632*3</f>
        <v>165</v>
      </c>
      <c r="CH634" s="3"/>
      <c r="CI634" s="3"/>
      <c r="CJ634" s="3"/>
      <c r="CK634" s="3"/>
      <c r="CL634" s="895">
        <f>CH632*4</f>
        <v>72</v>
      </c>
      <c r="CM634" s="3"/>
      <c r="CN634" s="3"/>
      <c r="CO634" s="3"/>
      <c r="CP634" s="3"/>
      <c r="CQ634" s="895">
        <f>CM632*5</f>
        <v>0</v>
      </c>
      <c r="CS634" s="895">
        <f>BR634+BW634+CB634+CG634+CL634+CQ634</f>
        <v>359</v>
      </c>
      <c r="CT634" s="57" t="s">
        <v>2051</v>
      </c>
      <c r="CU634" s="3"/>
      <c r="CV634" s="3"/>
      <c r="CW634" s="3"/>
      <c r="CX634" s="3"/>
      <c r="CY634" s="3"/>
      <c r="CZ634" s="3"/>
      <c r="DA634" s="3"/>
      <c r="DB634" s="3"/>
      <c r="DC634" s="3"/>
      <c r="DD634" s="3"/>
      <c r="DE634" s="3"/>
      <c r="DF634" s="3"/>
    </row>
    <row r="635" spans="2:157" ht="12.9" customHeight="1">
      <c r="B635" s="52" t="s">
        <v>469</v>
      </c>
      <c r="C635" s="1572"/>
      <c r="D635" s="1572"/>
      <c r="E635" s="1572"/>
      <c r="F635" s="1572"/>
      <c r="G635" s="1572"/>
      <c r="H635" s="1572"/>
      <c r="I635" s="1572"/>
      <c r="J635" s="1572"/>
      <c r="K635" s="1572"/>
      <c r="L635" s="1572"/>
      <c r="M635" s="1697" t="s">
        <v>1290</v>
      </c>
      <c r="N635" s="1697"/>
      <c r="O635" s="1697"/>
      <c r="P635" s="1697"/>
      <c r="Q635" s="1573"/>
      <c r="R635" s="1543"/>
      <c r="S635" s="1574"/>
      <c r="T635" s="1573"/>
      <c r="U635" s="1543"/>
      <c r="V635" s="1574"/>
      <c r="W635" s="1568"/>
      <c r="X635" s="1569"/>
      <c r="Y635" s="1570"/>
      <c r="Z635" s="1501" t="s">
        <v>1290</v>
      </c>
      <c r="AA635" s="1502"/>
      <c r="AB635" s="1503"/>
      <c r="AC635" s="1455"/>
      <c r="AD635" s="1456"/>
      <c r="AE635" s="1457"/>
      <c r="AF635" s="1577"/>
      <c r="AG635" s="1578"/>
      <c r="AH635" s="1578"/>
      <c r="AI635" s="1578"/>
      <c r="AJ635" s="1579"/>
      <c r="AK635" s="1698"/>
      <c r="AL635" s="1699"/>
      <c r="AM635" s="1699"/>
      <c r="AN635" s="1700"/>
      <c r="AO635" s="1590"/>
      <c r="AP635" s="1591"/>
      <c r="AQ635" s="1591"/>
      <c r="AR635" s="1591"/>
      <c r="AS635" s="1592"/>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98" t="e">
        <f>DX597*(BN597/$BN$632)</f>
        <v>#VALUE!</v>
      </c>
      <c r="DY635" s="1398"/>
      <c r="DZ635" s="1398"/>
      <c r="EA635" s="1398"/>
      <c r="EB635" s="1398"/>
      <c r="EC635" s="1398">
        <f t="shared" ref="EC635:EC657" si="24">EC597*(BS597/$BS$632)</f>
        <v>22.6</v>
      </c>
      <c r="ED635" s="1398"/>
      <c r="EE635" s="1398"/>
      <c r="EF635" s="1398"/>
      <c r="EG635" s="1398"/>
      <c r="EH635" s="1398" t="e">
        <f t="shared" ref="EH635:EH657" si="25">EH597*(BX597/$BX$632)</f>
        <v>#VALUE!</v>
      </c>
      <c r="EI635" s="1398"/>
      <c r="EJ635" s="1398"/>
      <c r="EK635" s="1398"/>
      <c r="EL635" s="1398"/>
      <c r="EM635" s="1398" t="e">
        <f t="shared" ref="EM635:EM657" si="26">EM597*(CC597/$CC$632)</f>
        <v>#VALUE!</v>
      </c>
      <c r="EN635" s="1398"/>
      <c r="EO635" s="1398"/>
      <c r="EP635" s="1398"/>
      <c r="EQ635" s="1398"/>
      <c r="ER635" s="1398" t="e">
        <f t="shared" ref="ER635:ER657" si="27">ER597*(CH597/$CH$632)</f>
        <v>#VALUE!</v>
      </c>
      <c r="ES635" s="1398"/>
      <c r="ET635" s="1398"/>
      <c r="EU635" s="1398"/>
      <c r="EV635" s="1398"/>
      <c r="EW635" s="1398" t="e">
        <f t="shared" ref="EW635:EW657" si="28">EW597*(CM597/$CM$632)</f>
        <v>#VALUE!</v>
      </c>
      <c r="EX635" s="1398"/>
      <c r="EY635" s="1398"/>
      <c r="EZ635" s="1398"/>
      <c r="FA635" s="1398"/>
    </row>
    <row r="636" spans="2:157" ht="12.9" customHeight="1">
      <c r="B636" s="52" t="s">
        <v>654</v>
      </c>
      <c r="C636" s="1572"/>
      <c r="D636" s="1572"/>
      <c r="E636" s="1572"/>
      <c r="F636" s="1572"/>
      <c r="G636" s="1572"/>
      <c r="H636" s="1572"/>
      <c r="I636" s="1572"/>
      <c r="J636" s="1572"/>
      <c r="K636" s="1572"/>
      <c r="L636" s="1572"/>
      <c r="M636" s="1697" t="s">
        <v>1290</v>
      </c>
      <c r="N636" s="1697"/>
      <c r="O636" s="1697"/>
      <c r="P636" s="1697"/>
      <c r="Q636" s="1573"/>
      <c r="R636" s="1543"/>
      <c r="S636" s="1574"/>
      <c r="T636" s="1573"/>
      <c r="U636" s="1543"/>
      <c r="V636" s="1574"/>
      <c r="W636" s="1568"/>
      <c r="X636" s="1569"/>
      <c r="Y636" s="1570"/>
      <c r="Z636" s="1501" t="s">
        <v>1290</v>
      </c>
      <c r="AA636" s="1502"/>
      <c r="AB636" s="1503"/>
      <c r="AC636" s="1455"/>
      <c r="AD636" s="1456"/>
      <c r="AE636" s="1457"/>
      <c r="AF636" s="1577"/>
      <c r="AG636" s="1578"/>
      <c r="AH636" s="1578"/>
      <c r="AI636" s="1578"/>
      <c r="AJ636" s="1579"/>
      <c r="AK636" s="1698"/>
      <c r="AL636" s="1699"/>
      <c r="AM636" s="1699"/>
      <c r="AN636" s="1700"/>
      <c r="AO636" s="1590"/>
      <c r="AP636" s="1591"/>
      <c r="AQ636" s="1591"/>
      <c r="AR636" s="1591"/>
      <c r="AS636" s="1592"/>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98" t="e">
        <f t="shared" ref="DX636:DX657" si="29">DX598*(BN598/$BN$632)</f>
        <v>#VALUE!</v>
      </c>
      <c r="DY636" s="1398"/>
      <c r="DZ636" s="1398"/>
      <c r="EA636" s="1398"/>
      <c r="EB636" s="1398"/>
      <c r="EC636" s="1398">
        <f t="shared" si="24"/>
        <v>45.2</v>
      </c>
      <c r="ED636" s="1398"/>
      <c r="EE636" s="1398"/>
      <c r="EF636" s="1398"/>
      <c r="EG636" s="1398"/>
      <c r="EH636" s="1398" t="e">
        <f t="shared" si="25"/>
        <v>#VALUE!</v>
      </c>
      <c r="EI636" s="1398"/>
      <c r="EJ636" s="1398"/>
      <c r="EK636" s="1398"/>
      <c r="EL636" s="1398"/>
      <c r="EM636" s="1398" t="e">
        <f t="shared" si="26"/>
        <v>#VALUE!</v>
      </c>
      <c r="EN636" s="1398"/>
      <c r="EO636" s="1398"/>
      <c r="EP636" s="1398"/>
      <c r="EQ636" s="1398"/>
      <c r="ER636" s="1398" t="e">
        <f t="shared" si="27"/>
        <v>#VALUE!</v>
      </c>
      <c r="ES636" s="1398"/>
      <c r="ET636" s="1398"/>
      <c r="EU636" s="1398"/>
      <c r="EV636" s="1398"/>
      <c r="EW636" s="1398" t="e">
        <f t="shared" si="28"/>
        <v>#VALUE!</v>
      </c>
      <c r="EX636" s="1398"/>
      <c r="EY636" s="1398"/>
      <c r="EZ636" s="1398"/>
      <c r="FA636" s="1398"/>
    </row>
    <row r="637" spans="2:157" ht="12.9" customHeight="1">
      <c r="B637" s="52" t="s">
        <v>363</v>
      </c>
      <c r="C637" s="1572"/>
      <c r="D637" s="1572"/>
      <c r="E637" s="1572"/>
      <c r="F637" s="1572"/>
      <c r="G637" s="1572"/>
      <c r="H637" s="1572"/>
      <c r="I637" s="1572"/>
      <c r="J637" s="1572"/>
      <c r="K637" s="1572"/>
      <c r="L637" s="1572"/>
      <c r="M637" s="1697" t="s">
        <v>1290</v>
      </c>
      <c r="N637" s="1697"/>
      <c r="O637" s="1697"/>
      <c r="P637" s="1697"/>
      <c r="Q637" s="1573"/>
      <c r="R637" s="1543"/>
      <c r="S637" s="1574"/>
      <c r="T637" s="1573"/>
      <c r="U637" s="1543"/>
      <c r="V637" s="1574"/>
      <c r="W637" s="1568"/>
      <c r="X637" s="1569"/>
      <c r="Y637" s="1570"/>
      <c r="Z637" s="1501" t="s">
        <v>1290</v>
      </c>
      <c r="AA637" s="1502"/>
      <c r="AB637" s="1503"/>
      <c r="AC637" s="1455"/>
      <c r="AD637" s="1456"/>
      <c r="AE637" s="1457"/>
      <c r="AF637" s="1577"/>
      <c r="AG637" s="1578"/>
      <c r="AH637" s="1578"/>
      <c r="AI637" s="1578"/>
      <c r="AJ637" s="1579"/>
      <c r="AK637" s="1698"/>
      <c r="AL637" s="1699"/>
      <c r="AM637" s="1699"/>
      <c r="AN637" s="1700"/>
      <c r="AO637" s="1590"/>
      <c r="AP637" s="1591"/>
      <c r="AQ637" s="1591"/>
      <c r="AR637" s="1591"/>
      <c r="AS637" s="1592"/>
      <c r="AT637" s="1192" t="str">
        <f t="shared" si="23"/>
        <v/>
      </c>
      <c r="AV637" s="3"/>
      <c r="AW637" s="3"/>
      <c r="AX637" s="3"/>
      <c r="AY637" s="3"/>
      <c r="AZ637" s="34"/>
      <c r="BA637" s="3" t="s">
        <v>2448</v>
      </c>
      <c r="BB637" s="34"/>
      <c r="BC637" s="34"/>
      <c r="BD637" s="34"/>
      <c r="BE637" s="34"/>
      <c r="BF637" s="34"/>
      <c r="BG637" s="34"/>
      <c r="BH637" s="34"/>
      <c r="BI637" s="34"/>
      <c r="BJ637" s="34"/>
      <c r="BK637" s="34"/>
      <c r="BL637" s="34"/>
      <c r="BM637" s="34"/>
      <c r="BN637" s="1401">
        <f>IF(J773="SRO/Studio",O773,0)</f>
        <v>0</v>
      </c>
      <c r="BO637" s="1402"/>
      <c r="BP637" s="1402"/>
      <c r="BQ637" s="1402"/>
      <c r="BR637" s="1403"/>
      <c r="BS637" s="1406">
        <f>IF(J773="1 Bedroom",O773,0)</f>
        <v>0</v>
      </c>
      <c r="BT637" s="1406"/>
      <c r="BU637" s="1406"/>
      <c r="BV637" s="1406"/>
      <c r="BW637" s="1406"/>
      <c r="BX637" s="1406">
        <f>IF(J773="2 Bedrooms",O773,0)</f>
        <v>1</v>
      </c>
      <c r="BY637" s="1406"/>
      <c r="BZ637" s="1406"/>
      <c r="CA637" s="1406"/>
      <c r="CB637" s="1406"/>
      <c r="CC637" s="1406">
        <f>IF(J773="3 Bedrooms",O773,0)</f>
        <v>0</v>
      </c>
      <c r="CD637" s="1406"/>
      <c r="CE637" s="1406"/>
      <c r="CF637" s="1406"/>
      <c r="CG637" s="1406"/>
      <c r="CH637" s="1406">
        <f>IF(J773="4 Bedrooms",O773,0)</f>
        <v>0</v>
      </c>
      <c r="CI637" s="1406"/>
      <c r="CJ637" s="1406"/>
      <c r="CK637" s="1406"/>
      <c r="CL637" s="1406"/>
      <c r="CM637" s="1406">
        <f>IF(J773="5 Bedrooms",O773,0)</f>
        <v>0</v>
      </c>
      <c r="CN637" s="1406"/>
      <c r="CO637" s="1406"/>
      <c r="CP637" s="1406"/>
      <c r="CQ637" s="1406"/>
      <c r="CR637" s="6"/>
      <c r="CS637" s="3"/>
      <c r="CT637" s="3"/>
      <c r="CU637" s="3"/>
      <c r="CV637" s="3"/>
      <c r="CW637" s="3"/>
      <c r="CX637" s="3"/>
      <c r="CY637" s="3"/>
      <c r="CZ637" s="3"/>
      <c r="DA637" s="3"/>
      <c r="DB637" s="3"/>
      <c r="DC637" s="3"/>
      <c r="DD637" s="3"/>
      <c r="DE637" s="3"/>
      <c r="DF637" s="3"/>
      <c r="DX637" s="1398" t="e">
        <f t="shared" si="29"/>
        <v>#VALUE!</v>
      </c>
      <c r="DY637" s="1398"/>
      <c r="DZ637" s="1398"/>
      <c r="EA637" s="1398"/>
      <c r="EB637" s="1398"/>
      <c r="EC637" s="1398">
        <f t="shared" si="24"/>
        <v>92.7</v>
      </c>
      <c r="ED637" s="1398"/>
      <c r="EE637" s="1398"/>
      <c r="EF637" s="1398"/>
      <c r="EG637" s="1398"/>
      <c r="EH637" s="1398" t="e">
        <f t="shared" si="25"/>
        <v>#VALUE!</v>
      </c>
      <c r="EI637" s="1398"/>
      <c r="EJ637" s="1398"/>
      <c r="EK637" s="1398"/>
      <c r="EL637" s="1398"/>
      <c r="EM637" s="1398" t="e">
        <f t="shared" si="26"/>
        <v>#VALUE!</v>
      </c>
      <c r="EN637" s="1398"/>
      <c r="EO637" s="1398"/>
      <c r="EP637" s="1398"/>
      <c r="EQ637" s="1398"/>
      <c r="ER637" s="1398" t="e">
        <f t="shared" si="27"/>
        <v>#VALUE!</v>
      </c>
      <c r="ES637" s="1398"/>
      <c r="ET637" s="1398"/>
      <c r="EU637" s="1398"/>
      <c r="EV637" s="1398"/>
      <c r="EW637" s="1398" t="e">
        <f t="shared" si="28"/>
        <v>#VALUE!</v>
      </c>
      <c r="EX637" s="1398"/>
      <c r="EY637" s="1398"/>
      <c r="EZ637" s="1398"/>
      <c r="FA637" s="1398"/>
    </row>
    <row r="638" spans="2:157" ht="12.9" customHeight="1">
      <c r="B638" s="52" t="s">
        <v>364</v>
      </c>
      <c r="C638" s="1572"/>
      <c r="D638" s="1572"/>
      <c r="E638" s="1572"/>
      <c r="F638" s="1572"/>
      <c r="G638" s="1572"/>
      <c r="H638" s="1572"/>
      <c r="I638" s="1572"/>
      <c r="J638" s="1572"/>
      <c r="K638" s="1572"/>
      <c r="L638" s="1572"/>
      <c r="M638" s="1697" t="s">
        <v>1290</v>
      </c>
      <c r="N638" s="1697"/>
      <c r="O638" s="1697"/>
      <c r="P638" s="1697"/>
      <c r="Q638" s="1573"/>
      <c r="R638" s="1543"/>
      <c r="S638" s="1574"/>
      <c r="T638" s="1573"/>
      <c r="U638" s="1543"/>
      <c r="V638" s="1574"/>
      <c r="W638" s="1568"/>
      <c r="X638" s="1569"/>
      <c r="Y638" s="1570"/>
      <c r="Z638" s="1501" t="s">
        <v>1290</v>
      </c>
      <c r="AA638" s="1502"/>
      <c r="AB638" s="1503"/>
      <c r="AC638" s="1455"/>
      <c r="AD638" s="1456"/>
      <c r="AE638" s="1457"/>
      <c r="AF638" s="1577"/>
      <c r="AG638" s="1578"/>
      <c r="AH638" s="1578"/>
      <c r="AI638" s="1578"/>
      <c r="AJ638" s="1579"/>
      <c r="AK638" s="1698"/>
      <c r="AL638" s="1699"/>
      <c r="AM638" s="1699"/>
      <c r="AN638" s="1700"/>
      <c r="AO638" s="1590"/>
      <c r="AP638" s="1591"/>
      <c r="AQ638" s="1591"/>
      <c r="AR638" s="1591"/>
      <c r="AS638" s="1592"/>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01">
        <f>IF(J774="SRO/Studio",O774,0)</f>
        <v>0</v>
      </c>
      <c r="BO638" s="1402"/>
      <c r="BP638" s="1402"/>
      <c r="BQ638" s="1402"/>
      <c r="BR638" s="1403"/>
      <c r="BS638" s="1406">
        <f>IF(J774="1 Bedroom",O774,0)</f>
        <v>0</v>
      </c>
      <c r="BT638" s="1406"/>
      <c r="BU638" s="1406"/>
      <c r="BV638" s="1406"/>
      <c r="BW638" s="1406"/>
      <c r="BX638" s="1406">
        <f>IF(J774="2 Bedrooms",O774,0)</f>
        <v>0</v>
      </c>
      <c r="BY638" s="1406"/>
      <c r="BZ638" s="1406"/>
      <c r="CA638" s="1406"/>
      <c r="CB638" s="1406"/>
      <c r="CC638" s="1406">
        <f>IF(J774="3 Bedrooms",O774,0)</f>
        <v>1</v>
      </c>
      <c r="CD638" s="1406"/>
      <c r="CE638" s="1406"/>
      <c r="CF638" s="1406"/>
      <c r="CG638" s="1406"/>
      <c r="CH638" s="1406">
        <f>IF(J774="4 Bedrooms",O774,0)</f>
        <v>0</v>
      </c>
      <c r="CI638" s="1406"/>
      <c r="CJ638" s="1406"/>
      <c r="CK638" s="1406"/>
      <c r="CL638" s="1406"/>
      <c r="CM638" s="1406">
        <f>IF(J774="5 Bedrooms",O774,0)</f>
        <v>0</v>
      </c>
      <c r="CN638" s="1406"/>
      <c r="CO638" s="1406"/>
      <c r="CP638" s="1406"/>
      <c r="CQ638" s="1406"/>
      <c r="CR638" s="6"/>
      <c r="CS638" s="3"/>
      <c r="CT638" s="3"/>
      <c r="CU638" s="3"/>
      <c r="CV638" s="3"/>
      <c r="CW638" s="3"/>
      <c r="CX638" s="3"/>
      <c r="CY638" s="3"/>
      <c r="CZ638" s="3"/>
      <c r="DA638" s="3"/>
      <c r="DB638" s="3"/>
      <c r="DC638" s="3"/>
      <c r="DD638" s="3"/>
      <c r="DE638" s="3"/>
      <c r="DF638" s="3"/>
      <c r="DX638" s="1398" t="e">
        <f t="shared" si="29"/>
        <v>#VALUE!</v>
      </c>
      <c r="DY638" s="1398"/>
      <c r="DZ638" s="1398"/>
      <c r="EA638" s="1398"/>
      <c r="EB638" s="1398"/>
      <c r="EC638" s="1398">
        <f t="shared" si="24"/>
        <v>117.60000000000001</v>
      </c>
      <c r="ED638" s="1398"/>
      <c r="EE638" s="1398"/>
      <c r="EF638" s="1398"/>
      <c r="EG638" s="1398"/>
      <c r="EH638" s="1398" t="e">
        <f t="shared" si="25"/>
        <v>#VALUE!</v>
      </c>
      <c r="EI638" s="1398"/>
      <c r="EJ638" s="1398"/>
      <c r="EK638" s="1398"/>
      <c r="EL638" s="1398"/>
      <c r="EM638" s="1398" t="e">
        <f t="shared" si="26"/>
        <v>#VALUE!</v>
      </c>
      <c r="EN638" s="1398"/>
      <c r="EO638" s="1398"/>
      <c r="EP638" s="1398"/>
      <c r="EQ638" s="1398"/>
      <c r="ER638" s="1398" t="e">
        <f t="shared" si="27"/>
        <v>#VALUE!</v>
      </c>
      <c r="ES638" s="1398"/>
      <c r="ET638" s="1398"/>
      <c r="EU638" s="1398"/>
      <c r="EV638" s="1398"/>
      <c r="EW638" s="1398" t="e">
        <f t="shared" si="28"/>
        <v>#VALUE!</v>
      </c>
      <c r="EX638" s="1398"/>
      <c r="EY638" s="1398"/>
      <c r="EZ638" s="1398"/>
      <c r="FA638" s="1398"/>
    </row>
    <row r="639" spans="2:157" ht="12.9" customHeight="1">
      <c r="B639" s="1594" t="s">
        <v>128</v>
      </c>
      <c r="C639" s="1595"/>
      <c r="D639" s="1595"/>
      <c r="E639" s="1595"/>
      <c r="F639" s="1595"/>
      <c r="G639" s="1595"/>
      <c r="H639" s="1595"/>
      <c r="I639" s="1595"/>
      <c r="J639" s="1595"/>
      <c r="K639" s="1595"/>
      <c r="L639" s="1595"/>
      <c r="M639" s="1595"/>
      <c r="N639" s="1595"/>
      <c r="O639" s="1595"/>
      <c r="P639" s="1595"/>
      <c r="Q639" s="1595"/>
      <c r="R639" s="1595"/>
      <c r="S639" s="1595"/>
      <c r="T639" s="1595"/>
      <c r="U639" s="1595"/>
      <c r="V639" s="1595"/>
      <c r="W639" s="1595"/>
      <c r="X639" s="1595"/>
      <c r="Y639" s="1595"/>
      <c r="Z639" s="1595"/>
      <c r="AA639" s="1595"/>
      <c r="AB639" s="1595"/>
      <c r="AC639" s="1595"/>
      <c r="AD639" s="1595"/>
      <c r="AE639" s="1595"/>
      <c r="AF639" s="1595"/>
      <c r="AG639" s="1595"/>
      <c r="AH639" s="1595"/>
      <c r="AI639" s="1595"/>
      <c r="AJ639" s="1595"/>
      <c r="AK639" s="1595"/>
      <c r="AL639" s="1595"/>
      <c r="AM639" s="1595"/>
      <c r="AN639" s="1596"/>
      <c r="AO639" s="1610">
        <f>SUM(AO627:AR638)</f>
        <v>48058261</v>
      </c>
      <c r="AP639" s="1611"/>
      <c r="AQ639" s="1611"/>
      <c r="AR639" s="1611"/>
      <c r="AS639" s="1612"/>
      <c r="AV639" s="3"/>
      <c r="AW639" s="3"/>
      <c r="AX639" s="3"/>
      <c r="AY639" s="3"/>
      <c r="AZ639" s="34"/>
      <c r="BA639" s="34"/>
      <c r="BB639" s="34"/>
      <c r="BC639" s="34"/>
      <c r="BD639" s="34"/>
      <c r="BE639" s="34"/>
      <c r="BF639" s="34"/>
      <c r="BG639" s="34"/>
      <c r="BH639" s="34"/>
      <c r="BI639" s="34"/>
      <c r="BJ639" s="34"/>
      <c r="BK639" s="34"/>
      <c r="BL639" s="34"/>
      <c r="BM639" s="34"/>
      <c r="BN639" s="1401">
        <f>IF(J775="SRO/Studio",O775,0)</f>
        <v>0</v>
      </c>
      <c r="BO639" s="1402"/>
      <c r="BP639" s="1402"/>
      <c r="BQ639" s="1402"/>
      <c r="BR639" s="1403"/>
      <c r="BS639" s="1406">
        <f>IF(J775="1 Bedroom",O775,0)</f>
        <v>0</v>
      </c>
      <c r="BT639" s="1406"/>
      <c r="BU639" s="1406"/>
      <c r="BV639" s="1406"/>
      <c r="BW639" s="1406"/>
      <c r="BX639" s="1406">
        <f>IF(J775="2 Bedrooms",O775,0)</f>
        <v>0</v>
      </c>
      <c r="BY639" s="1406"/>
      <c r="BZ639" s="1406"/>
      <c r="CA639" s="1406"/>
      <c r="CB639" s="1406"/>
      <c r="CC639" s="1406">
        <f>IF(J775="3 Bedrooms",O775,0)</f>
        <v>0</v>
      </c>
      <c r="CD639" s="1406"/>
      <c r="CE639" s="1406"/>
      <c r="CF639" s="1406"/>
      <c r="CG639" s="1406"/>
      <c r="CH639" s="1406">
        <f>IF(J775="4 Bedrooms",O775,0)</f>
        <v>0</v>
      </c>
      <c r="CI639" s="1406"/>
      <c r="CJ639" s="1406"/>
      <c r="CK639" s="1406"/>
      <c r="CL639" s="1406"/>
      <c r="CM639" s="1406">
        <f>IF(J775="5 Bedrooms",O775,0)</f>
        <v>0</v>
      </c>
      <c r="CN639" s="1406"/>
      <c r="CO639" s="1406"/>
      <c r="CP639" s="1406"/>
      <c r="CQ639" s="1406"/>
      <c r="CR639" s="1047"/>
      <c r="CV639" s="3"/>
      <c r="CW639" s="3"/>
      <c r="CX639" s="3"/>
      <c r="CY639" s="3"/>
      <c r="CZ639" s="3"/>
      <c r="DA639" s="3"/>
      <c r="DB639" s="3"/>
      <c r="DC639" s="3"/>
      <c r="DD639" s="3"/>
      <c r="DE639" s="3"/>
      <c r="DF639" s="3"/>
      <c r="DX639" s="1398" t="e">
        <f t="shared" si="29"/>
        <v>#VALUE!</v>
      </c>
      <c r="DY639" s="1398"/>
      <c r="DZ639" s="1398"/>
      <c r="EA639" s="1398"/>
      <c r="EB639" s="1398"/>
      <c r="EC639" s="1398">
        <f t="shared" si="24"/>
        <v>142.5</v>
      </c>
      <c r="ED639" s="1398"/>
      <c r="EE639" s="1398"/>
      <c r="EF639" s="1398"/>
      <c r="EG639" s="1398"/>
      <c r="EH639" s="1398" t="e">
        <f t="shared" si="25"/>
        <v>#VALUE!</v>
      </c>
      <c r="EI639" s="1398"/>
      <c r="EJ639" s="1398"/>
      <c r="EK639" s="1398"/>
      <c r="EL639" s="1398"/>
      <c r="EM639" s="1398" t="e">
        <f t="shared" si="26"/>
        <v>#VALUE!</v>
      </c>
      <c r="EN639" s="1398"/>
      <c r="EO639" s="1398"/>
      <c r="EP639" s="1398"/>
      <c r="EQ639" s="1398"/>
      <c r="ER639" s="1398" t="e">
        <f t="shared" si="27"/>
        <v>#VALUE!</v>
      </c>
      <c r="ES639" s="1398"/>
      <c r="ET639" s="1398"/>
      <c r="EU639" s="1398"/>
      <c r="EV639" s="1398"/>
      <c r="EW639" s="1398" t="e">
        <f t="shared" si="28"/>
        <v>#VALUE!</v>
      </c>
      <c r="EX639" s="1398"/>
      <c r="EY639" s="1398"/>
      <c r="EZ639" s="1398"/>
      <c r="FA639" s="1398"/>
    </row>
    <row r="640" spans="2:157" ht="12.9" customHeight="1">
      <c r="B640" s="1594" t="s">
        <v>268</v>
      </c>
      <c r="C640" s="1595"/>
      <c r="D640" s="1595"/>
      <c r="E640" s="1595"/>
      <c r="F640" s="1595"/>
      <c r="G640" s="1595"/>
      <c r="H640" s="1595"/>
      <c r="I640" s="1595"/>
      <c r="J640" s="1595"/>
      <c r="K640" s="1595"/>
      <c r="L640" s="1595"/>
      <c r="M640" s="1595"/>
      <c r="N640" s="1595"/>
      <c r="O640" s="1595"/>
      <c r="P640" s="1595"/>
      <c r="Q640" s="1595"/>
      <c r="R640" s="1595"/>
      <c r="S640" s="1595"/>
      <c r="T640" s="1595"/>
      <c r="U640" s="1595"/>
      <c r="V640" s="1595"/>
      <c r="W640" s="1595"/>
      <c r="X640" s="1595"/>
      <c r="Y640" s="1595"/>
      <c r="Z640" s="1595"/>
      <c r="AA640" s="1595"/>
      <c r="AB640" s="1595"/>
      <c r="AC640" s="1595"/>
      <c r="AD640" s="1595"/>
      <c r="AE640" s="1595"/>
      <c r="AF640" s="1595"/>
      <c r="AG640" s="1595"/>
      <c r="AH640" s="1595"/>
      <c r="AI640" s="1595"/>
      <c r="AJ640" s="1595"/>
      <c r="AK640" s="1595"/>
      <c r="AL640" s="1595"/>
      <c r="AM640" s="1595"/>
      <c r="AN640" s="1596"/>
      <c r="AO640" s="1590">
        <v>31900000</v>
      </c>
      <c r="AP640" s="1591"/>
      <c r="AQ640" s="1591"/>
      <c r="AR640" s="1591"/>
      <c r="AS640" s="1592"/>
      <c r="AV640" s="3"/>
      <c r="AW640" s="3"/>
      <c r="AX640" s="3"/>
      <c r="AY640" s="3"/>
      <c r="AZ640" s="34"/>
      <c r="BA640" s="34"/>
      <c r="BB640" s="34"/>
      <c r="BC640" s="34"/>
      <c r="BD640" s="34"/>
      <c r="BE640" s="34"/>
      <c r="BF640" s="34"/>
      <c r="BG640" s="34"/>
      <c r="BH640" s="34"/>
      <c r="BI640" s="34"/>
      <c r="BJ640" s="34"/>
      <c r="BK640" s="34"/>
      <c r="BL640" s="34"/>
      <c r="BM640" s="34"/>
      <c r="BN640" s="1401">
        <f>IF(J776="SRO/Studio",O776,0)</f>
        <v>0</v>
      </c>
      <c r="BO640" s="1402"/>
      <c r="BP640" s="1402"/>
      <c r="BQ640" s="1402"/>
      <c r="BR640" s="1403"/>
      <c r="BS640" s="1406">
        <f>IF(J776="1 Bedroom",O776,0)</f>
        <v>0</v>
      </c>
      <c r="BT640" s="1406"/>
      <c r="BU640" s="1406"/>
      <c r="BV640" s="1406"/>
      <c r="BW640" s="1406"/>
      <c r="BX640" s="1406">
        <f>IF(J776="2 Bedrooms",O776,0)</f>
        <v>0</v>
      </c>
      <c r="BY640" s="1406"/>
      <c r="BZ640" s="1406"/>
      <c r="CA640" s="1406"/>
      <c r="CB640" s="1406"/>
      <c r="CC640" s="1406">
        <f>IF(J776="3 Bedrooms",O776,0)</f>
        <v>0</v>
      </c>
      <c r="CD640" s="1406"/>
      <c r="CE640" s="1406"/>
      <c r="CF640" s="1406"/>
      <c r="CG640" s="1406"/>
      <c r="CH640" s="1406">
        <f>IF(J776="4 Bedrooms",O776,0)</f>
        <v>0</v>
      </c>
      <c r="CI640" s="1406"/>
      <c r="CJ640" s="1406"/>
      <c r="CK640" s="1406"/>
      <c r="CL640" s="1406"/>
      <c r="CM640" s="1406">
        <f>IF(J776="5 Bedrooms",O776,0)</f>
        <v>0</v>
      </c>
      <c r="CN640" s="1406"/>
      <c r="CO640" s="1406"/>
      <c r="CP640" s="1406"/>
      <c r="CQ640" s="1406"/>
      <c r="CV640" s="3"/>
      <c r="CW640" s="3"/>
      <c r="CX640" s="3"/>
      <c r="CY640" s="3"/>
      <c r="CZ640" s="3"/>
      <c r="DA640" s="3"/>
      <c r="DB640" s="3"/>
      <c r="DC640" s="3"/>
      <c r="DD640" s="3"/>
      <c r="DE640" s="3"/>
      <c r="DF640" s="3"/>
      <c r="DX640" s="1398" t="e">
        <f t="shared" si="29"/>
        <v>#VALUE!</v>
      </c>
      <c r="DY640" s="1398"/>
      <c r="DZ640" s="1398"/>
      <c r="EA640" s="1398"/>
      <c r="EB640" s="1398"/>
      <c r="EC640" s="1398">
        <f t="shared" si="24"/>
        <v>1004.4</v>
      </c>
      <c r="ED640" s="1398"/>
      <c r="EE640" s="1398"/>
      <c r="EF640" s="1398"/>
      <c r="EG640" s="1398"/>
      <c r="EH640" s="1398" t="e">
        <f t="shared" si="25"/>
        <v>#VALUE!</v>
      </c>
      <c r="EI640" s="1398"/>
      <c r="EJ640" s="1398"/>
      <c r="EK640" s="1398"/>
      <c r="EL640" s="1398"/>
      <c r="EM640" s="1398" t="e">
        <f t="shared" si="26"/>
        <v>#VALUE!</v>
      </c>
      <c r="EN640" s="1398"/>
      <c r="EO640" s="1398"/>
      <c r="EP640" s="1398"/>
      <c r="EQ640" s="1398"/>
      <c r="ER640" s="1398" t="e">
        <f t="shared" si="27"/>
        <v>#VALUE!</v>
      </c>
      <c r="ES640" s="1398"/>
      <c r="ET640" s="1398"/>
      <c r="EU640" s="1398"/>
      <c r="EV640" s="1398"/>
      <c r="EW640" s="1398" t="e">
        <f t="shared" si="28"/>
        <v>#VALUE!</v>
      </c>
      <c r="EX640" s="1398"/>
      <c r="EY640" s="1398"/>
      <c r="EZ640" s="1398"/>
      <c r="FA640" s="1398"/>
    </row>
    <row r="641" spans="1:157" ht="12.9" customHeight="1">
      <c r="B641" s="1701" t="s">
        <v>269</v>
      </c>
      <c r="C641" s="1702"/>
      <c r="D641" s="1702"/>
      <c r="E641" s="1702"/>
      <c r="F641" s="1702"/>
      <c r="G641" s="1702"/>
      <c r="H641" s="1702"/>
      <c r="I641" s="1702"/>
      <c r="J641" s="1702"/>
      <c r="K641" s="1702"/>
      <c r="L641" s="1702"/>
      <c r="M641" s="1702"/>
      <c r="N641" s="1702"/>
      <c r="O641" s="1702"/>
      <c r="P641" s="1702"/>
      <c r="Q641" s="1702"/>
      <c r="R641" s="1702"/>
      <c r="S641" s="1702"/>
      <c r="T641" s="1702"/>
      <c r="U641" s="1702"/>
      <c r="V641" s="1702"/>
      <c r="W641" s="1702"/>
      <c r="X641" s="1702"/>
      <c r="Y641" s="1702"/>
      <c r="Z641" s="1702"/>
      <c r="AA641" s="1702"/>
      <c r="AB641" s="1702"/>
      <c r="AC641" s="1702"/>
      <c r="AD641" s="1702"/>
      <c r="AE641" s="1702"/>
      <c r="AF641" s="1702"/>
      <c r="AG641" s="1702"/>
      <c r="AH641" s="1702"/>
      <c r="AI641" s="1702"/>
      <c r="AJ641" s="1702"/>
      <c r="AK641" s="1702"/>
      <c r="AL641" s="1702"/>
      <c r="AM641" s="1702"/>
      <c r="AN641" s="1703"/>
      <c r="AO641" s="1610">
        <f>AO639+AO640</f>
        <v>79958261</v>
      </c>
      <c r="AP641" s="1611"/>
      <c r="AQ641" s="1611"/>
      <c r="AR641" s="1611"/>
      <c r="AS641" s="1612"/>
      <c r="AV641" s="3"/>
      <c r="AW641" s="3"/>
      <c r="AX641" s="3"/>
      <c r="AY641" s="3"/>
      <c r="AZ641" s="34"/>
      <c r="BA641" s="34"/>
      <c r="BB641" s="34"/>
      <c r="BC641" s="34"/>
      <c r="BD641" s="34"/>
      <c r="BE641" s="34"/>
      <c r="BF641" s="34"/>
      <c r="BG641" s="34"/>
      <c r="BH641" s="34"/>
      <c r="BI641" s="34"/>
      <c r="BJ641" s="34"/>
      <c r="BK641" s="34"/>
      <c r="BL641" s="34"/>
      <c r="BM641" s="34"/>
      <c r="BN641" s="1404">
        <f>SUM(BN637:BR640)</f>
        <v>0</v>
      </c>
      <c r="BO641" s="1500"/>
      <c r="BP641" s="1500"/>
      <c r="BQ641" s="1500"/>
      <c r="BR641" s="1405"/>
      <c r="BS641" s="1358">
        <f>SUM(BS637:BW640)</f>
        <v>0</v>
      </c>
      <c r="BT641" s="1359"/>
      <c r="BU641" s="1359"/>
      <c r="BV641" s="1359"/>
      <c r="BW641" s="1360"/>
      <c r="BX641" s="1358">
        <f>SUM(BX637:CB640)</f>
        <v>1</v>
      </c>
      <c r="BY641" s="1359"/>
      <c r="BZ641" s="1359"/>
      <c r="CA641" s="1359"/>
      <c r="CB641" s="1360"/>
      <c r="CC641" s="1358">
        <f>SUM(CC637:CG640)</f>
        <v>1</v>
      </c>
      <c r="CD641" s="1359"/>
      <c r="CE641" s="1359"/>
      <c r="CF641" s="1359"/>
      <c r="CG641" s="1360"/>
      <c r="CH641" s="1358">
        <f>SUM(CH637:CL640)</f>
        <v>0</v>
      </c>
      <c r="CI641" s="1359"/>
      <c r="CJ641" s="1359"/>
      <c r="CK641" s="1359"/>
      <c r="CL641" s="1360"/>
      <c r="CM641" s="1358">
        <f>SUM(CM637:CQ640)</f>
        <v>0</v>
      </c>
      <c r="CN641" s="1359"/>
      <c r="CO641" s="1359"/>
      <c r="CP641" s="1359"/>
      <c r="CQ641" s="1360"/>
      <c r="CS641" s="895">
        <f>BN641+BS641+BX641+CC641+CH641+CM641</f>
        <v>2</v>
      </c>
      <c r="CT641" s="57" t="s">
        <v>2048</v>
      </c>
      <c r="CU641" s="3"/>
      <c r="CV641" s="3"/>
      <c r="CW641" s="3"/>
      <c r="CX641" s="3"/>
      <c r="CY641" s="3"/>
      <c r="CZ641" s="3"/>
      <c r="DA641" s="3"/>
      <c r="DB641" s="3"/>
      <c r="DC641" s="3"/>
      <c r="DD641" s="3"/>
      <c r="DE641" s="3"/>
      <c r="DF641" s="3"/>
      <c r="DX641" s="1398" t="e">
        <f t="shared" si="29"/>
        <v>#VALUE!</v>
      </c>
      <c r="DY641" s="1398"/>
      <c r="DZ641" s="1398"/>
      <c r="EA641" s="1398"/>
      <c r="EB641" s="1398"/>
      <c r="EC641" s="1398" t="e">
        <f t="shared" si="24"/>
        <v>#VALUE!</v>
      </c>
      <c r="ED641" s="1398"/>
      <c r="EE641" s="1398"/>
      <c r="EF641" s="1398"/>
      <c r="EG641" s="1398"/>
      <c r="EH641" s="1398">
        <f t="shared" si="25"/>
        <v>51.677419354838712</v>
      </c>
      <c r="EI641" s="1398"/>
      <c r="EJ641" s="1398"/>
      <c r="EK641" s="1398"/>
      <c r="EL641" s="1398"/>
      <c r="EM641" s="1398" t="e">
        <f t="shared" si="26"/>
        <v>#VALUE!</v>
      </c>
      <c r="EN641" s="1398"/>
      <c r="EO641" s="1398"/>
      <c r="EP641" s="1398"/>
      <c r="EQ641" s="1398"/>
      <c r="ER641" s="1398" t="e">
        <f t="shared" si="27"/>
        <v>#VALUE!</v>
      </c>
      <c r="ES641" s="1398"/>
      <c r="ET641" s="1398"/>
      <c r="EU641" s="1398"/>
      <c r="EV641" s="1398"/>
      <c r="EW641" s="1398" t="e">
        <f t="shared" si="28"/>
        <v>#VALUE!</v>
      </c>
      <c r="EX641" s="1398"/>
      <c r="EY641" s="1398"/>
      <c r="EZ641" s="1398"/>
      <c r="FA641" s="1398"/>
    </row>
    <row r="642" spans="1:157" ht="12.9"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5</v>
      </c>
      <c r="CT642" s="57" t="s">
        <v>2050</v>
      </c>
      <c r="CU642" s="3"/>
      <c r="CV642" s="3"/>
      <c r="CW642" s="3"/>
      <c r="CX642" s="3"/>
      <c r="CY642" s="3"/>
      <c r="CZ642" s="3"/>
      <c r="DA642" s="3"/>
      <c r="DB642" s="3"/>
      <c r="DC642" s="3"/>
      <c r="DD642" s="3"/>
      <c r="DE642" s="3"/>
      <c r="DF642" s="3"/>
      <c r="DX642" s="1398" t="e">
        <f t="shared" si="29"/>
        <v>#VALUE!</v>
      </c>
      <c r="DY642" s="1398"/>
      <c r="DZ642" s="1398"/>
      <c r="EA642" s="1398"/>
      <c r="EB642" s="1398"/>
      <c r="EC642" s="1398" t="e">
        <f t="shared" si="24"/>
        <v>#VALUE!</v>
      </c>
      <c r="ED642" s="1398"/>
      <c r="EE642" s="1398"/>
      <c r="EF642" s="1398"/>
      <c r="EG642" s="1398"/>
      <c r="EH642" s="1398">
        <f t="shared" si="25"/>
        <v>51.677419354838712</v>
      </c>
      <c r="EI642" s="1398"/>
      <c r="EJ642" s="1398"/>
      <c r="EK642" s="1398"/>
      <c r="EL642" s="1398"/>
      <c r="EM642" s="1398" t="e">
        <f t="shared" si="26"/>
        <v>#VALUE!</v>
      </c>
      <c r="EN642" s="1398"/>
      <c r="EO642" s="1398"/>
      <c r="EP642" s="1398"/>
      <c r="EQ642" s="1398"/>
      <c r="ER642" s="1398" t="e">
        <f t="shared" si="27"/>
        <v>#VALUE!</v>
      </c>
      <c r="ES642" s="1398"/>
      <c r="ET642" s="1398"/>
      <c r="EU642" s="1398"/>
      <c r="EV642" s="1398"/>
      <c r="EW642" s="1398" t="e">
        <f t="shared" si="28"/>
        <v>#VALUE!</v>
      </c>
      <c r="EX642" s="1398"/>
      <c r="EY642" s="1398"/>
      <c r="EZ642" s="1398"/>
      <c r="FA642" s="1398"/>
    </row>
    <row r="643" spans="1:157" ht="12.9" customHeight="1">
      <c r="A643" s="55" t="s">
        <v>112</v>
      </c>
      <c r="B643" t="s">
        <v>471</v>
      </c>
      <c r="G643" s="1375" t="str">
        <f>C627</f>
        <v>Tax Exempt Bonds Permanent Loan</v>
      </c>
      <c r="H643" s="1375"/>
      <c r="I643" s="1375"/>
      <c r="J643" s="1375"/>
      <c r="K643" s="1375"/>
      <c r="L643" s="1375"/>
      <c r="M643" s="1375"/>
      <c r="N643" s="1375"/>
      <c r="O643" s="1375"/>
      <c r="P643" s="1375"/>
      <c r="Q643" s="1375"/>
      <c r="R643" s="1375"/>
      <c r="S643" s="8"/>
      <c r="T643" s="55" t="s">
        <v>113</v>
      </c>
      <c r="U643" t="s">
        <v>471</v>
      </c>
      <c r="Z643" s="1375" t="str">
        <f>C628</f>
        <v>City of Santa Paula Deferred Impact Fees</v>
      </c>
      <c r="AA643" s="1375"/>
      <c r="AB643" s="1375"/>
      <c r="AC643" s="1375"/>
      <c r="AD643" s="1375"/>
      <c r="AE643" s="1375"/>
      <c r="AF643" s="1375"/>
      <c r="AG643" s="1375"/>
      <c r="AH643" s="1375"/>
      <c r="AI643" s="1375"/>
      <c r="AJ643" s="1375"/>
      <c r="AK643" s="137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98" t="e">
        <f t="shared" si="29"/>
        <v>#VALUE!</v>
      </c>
      <c r="DY643" s="1398"/>
      <c r="DZ643" s="1398"/>
      <c r="EA643" s="1398"/>
      <c r="EB643" s="1398"/>
      <c r="EC643" s="1398" t="e">
        <f t="shared" si="24"/>
        <v>#VALUE!</v>
      </c>
      <c r="ED643" s="1398"/>
      <c r="EE643" s="1398"/>
      <c r="EF643" s="1398"/>
      <c r="EG643" s="1398"/>
      <c r="EH643" s="1398">
        <f t="shared" si="25"/>
        <v>141.93548387096774</v>
      </c>
      <c r="EI643" s="1398"/>
      <c r="EJ643" s="1398"/>
      <c r="EK643" s="1398"/>
      <c r="EL643" s="1398"/>
      <c r="EM643" s="1398" t="e">
        <f t="shared" si="26"/>
        <v>#VALUE!</v>
      </c>
      <c r="EN643" s="1398"/>
      <c r="EO643" s="1398"/>
      <c r="EP643" s="1398"/>
      <c r="EQ643" s="1398"/>
      <c r="ER643" s="1398" t="e">
        <f t="shared" si="27"/>
        <v>#VALUE!</v>
      </c>
      <c r="ES643" s="1398"/>
      <c r="ET643" s="1398"/>
      <c r="EU643" s="1398"/>
      <c r="EV643" s="1398"/>
      <c r="EW643" s="1398" t="e">
        <f t="shared" si="28"/>
        <v>#VALUE!</v>
      </c>
      <c r="EX643" s="1398"/>
      <c r="EY643" s="1398"/>
      <c r="EZ643" s="1398"/>
      <c r="FA643" s="1398"/>
    </row>
    <row r="644" spans="1:157" ht="12.9" customHeight="1">
      <c r="A644" s="22"/>
      <c r="B644" t="s">
        <v>85</v>
      </c>
      <c r="G644" s="1364" t="s">
        <v>2750</v>
      </c>
      <c r="H644" s="1364"/>
      <c r="I644" s="1364"/>
      <c r="J644" s="1364"/>
      <c r="K644" s="1364"/>
      <c r="L644" s="1364"/>
      <c r="M644" s="1364"/>
      <c r="N644" s="1364"/>
      <c r="O644" s="1364"/>
      <c r="P644" s="1364"/>
      <c r="Q644" s="1364"/>
      <c r="R644" s="1364"/>
      <c r="S644" s="8"/>
      <c r="T644" s="22"/>
      <c r="U644" t="s">
        <v>85</v>
      </c>
      <c r="Z644" s="1364" t="s">
        <v>2754</v>
      </c>
      <c r="AA644" s="1364"/>
      <c r="AB644" s="1364"/>
      <c r="AC644" s="1364"/>
      <c r="AD644" s="1364"/>
      <c r="AE644" s="1364"/>
      <c r="AF644" s="1364"/>
      <c r="AG644" s="1364"/>
      <c r="AH644" s="1364"/>
      <c r="AI644" s="1364"/>
      <c r="AJ644" s="1364"/>
      <c r="AK644" s="136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398" t="e">
        <f t="shared" si="29"/>
        <v>#VALUE!</v>
      </c>
      <c r="DY644" s="1398"/>
      <c r="DZ644" s="1398"/>
      <c r="EA644" s="1398"/>
      <c r="EB644" s="1398"/>
      <c r="EC644" s="1398" t="e">
        <f t="shared" si="24"/>
        <v>#VALUE!</v>
      </c>
      <c r="ED644" s="1398"/>
      <c r="EE644" s="1398"/>
      <c r="EF644" s="1398"/>
      <c r="EG644" s="1398"/>
      <c r="EH644" s="1398">
        <f t="shared" si="25"/>
        <v>180.51612903225805</v>
      </c>
      <c r="EI644" s="1398"/>
      <c r="EJ644" s="1398"/>
      <c r="EK644" s="1398"/>
      <c r="EL644" s="1398"/>
      <c r="EM644" s="1398" t="e">
        <f t="shared" si="26"/>
        <v>#VALUE!</v>
      </c>
      <c r="EN644" s="1398"/>
      <c r="EO644" s="1398"/>
      <c r="EP644" s="1398"/>
      <c r="EQ644" s="1398"/>
      <c r="ER644" s="1398" t="e">
        <f t="shared" si="27"/>
        <v>#VALUE!</v>
      </c>
      <c r="ES644" s="1398"/>
      <c r="ET644" s="1398"/>
      <c r="EU644" s="1398"/>
      <c r="EV644" s="1398"/>
      <c r="EW644" s="1398" t="e">
        <f t="shared" si="28"/>
        <v>#VALUE!</v>
      </c>
      <c r="EX644" s="1398"/>
      <c r="EY644" s="1398"/>
      <c r="EZ644" s="1398"/>
      <c r="FA644" s="1398"/>
    </row>
    <row r="645" spans="1:157" ht="12.9" customHeight="1">
      <c r="A645" s="22"/>
      <c r="B645" t="s">
        <v>588</v>
      </c>
      <c r="G645" s="1364" t="s">
        <v>2751</v>
      </c>
      <c r="H645" s="1364"/>
      <c r="I645" s="1364"/>
      <c r="J645" s="1364"/>
      <c r="K645" s="1364"/>
      <c r="L645" s="1364"/>
      <c r="M645" s="1364"/>
      <c r="N645" s="1364"/>
      <c r="O645" s="1364"/>
      <c r="P645" s="1364"/>
      <c r="Q645" s="1364"/>
      <c r="R645" s="1364"/>
      <c r="T645" s="22"/>
      <c r="U645" t="s">
        <v>588</v>
      </c>
      <c r="Z645" s="1376" t="s">
        <v>2636</v>
      </c>
      <c r="AA645" s="1376"/>
      <c r="AB645" s="1376"/>
      <c r="AC645" s="1376"/>
      <c r="AD645" s="1376"/>
      <c r="AE645" s="1376"/>
      <c r="AF645" s="1376"/>
      <c r="AG645" s="1376"/>
      <c r="AH645" s="1376"/>
      <c r="AI645" s="1376"/>
      <c r="AJ645" s="1376"/>
      <c r="AK645" s="1376"/>
      <c r="AV645" s="3"/>
      <c r="AW645" s="3"/>
      <c r="AX645" s="3"/>
      <c r="AY645" s="3"/>
      <c r="AZ645" s="3"/>
      <c r="BA645" s="3"/>
      <c r="BB645" s="3"/>
      <c r="BC645" s="3"/>
      <c r="BD645" s="3"/>
      <c r="BE645" s="3"/>
      <c r="BF645" s="3"/>
      <c r="BG645" s="3"/>
      <c r="BH645" s="3"/>
      <c r="BI645" s="3"/>
      <c r="BJ645" s="3"/>
      <c r="BK645" s="3"/>
      <c r="BL645" s="3"/>
      <c r="BM645" s="3"/>
      <c r="BN645" s="1401">
        <f t="shared" ref="BN645:BN654" si="30">IF(J787="SRO/Studio",O787,0)</f>
        <v>0</v>
      </c>
      <c r="BO645" s="1402"/>
      <c r="BP645" s="1402"/>
      <c r="BQ645" s="1402"/>
      <c r="BR645" s="1403"/>
      <c r="BS645" s="1406">
        <f t="shared" ref="BS645:BS654" si="31">IF(J787="1 Bedroom",O787,0)</f>
        <v>0</v>
      </c>
      <c r="BT645" s="1406"/>
      <c r="BU645" s="1406"/>
      <c r="BV645" s="1406"/>
      <c r="BW645" s="1406"/>
      <c r="BX645" s="1406">
        <f t="shared" ref="BX645:BX654" si="32">IF(J787="2 Bedrooms",O787,0)</f>
        <v>0</v>
      </c>
      <c r="BY645" s="1406"/>
      <c r="BZ645" s="1406"/>
      <c r="CA645" s="1406"/>
      <c r="CB645" s="1406"/>
      <c r="CC645" s="1406">
        <f t="shared" ref="CC645:CC654" si="33">IF(J787="3 Bedrooms",O787,0)</f>
        <v>0</v>
      </c>
      <c r="CD645" s="1406"/>
      <c r="CE645" s="1406"/>
      <c r="CF645" s="1406"/>
      <c r="CG645" s="1406"/>
      <c r="CH645" s="1406">
        <f t="shared" ref="CH645:CH654" si="34">IF(J787="4 Bedrooms",O787,0)</f>
        <v>0</v>
      </c>
      <c r="CI645" s="1406"/>
      <c r="CJ645" s="1406"/>
      <c r="CK645" s="1406"/>
      <c r="CL645" s="1406"/>
      <c r="CM645" s="1406">
        <f t="shared" ref="CM645:CM654" si="35">IF(J787="5 Bedrooms",O787,0)</f>
        <v>0</v>
      </c>
      <c r="CN645" s="1406"/>
      <c r="CO645" s="1406"/>
      <c r="CP645" s="1406"/>
      <c r="CQ645" s="1406"/>
      <c r="CR645" s="6"/>
      <c r="CS645" s="1401">
        <f t="shared" ref="CS645:CS654" si="36">IF(AND(BN645&gt;=1,AH787&gt;=0.1,AH787&lt;=1),O787,0)</f>
        <v>0</v>
      </c>
      <c r="CT645" s="1402"/>
      <c r="CU645" s="1402"/>
      <c r="CV645" s="1402"/>
      <c r="CW645" s="1403"/>
      <c r="CX645" s="1401">
        <f t="shared" ref="CX645:CX654" si="37">IF(AND(BS645&gt;=1,AH787&gt;=0.1,AH787&lt;=1),O787,0)</f>
        <v>0</v>
      </c>
      <c r="CY645" s="1402"/>
      <c r="CZ645" s="1402"/>
      <c r="DA645" s="1402"/>
      <c r="DB645" s="1403"/>
      <c r="DC645" s="1401">
        <f t="shared" ref="DC645:DC654" si="38">IF(AND(BX645&gt;=1,AH787&gt;=0.1,AH787&lt;=1),O787,0)</f>
        <v>0</v>
      </c>
      <c r="DD645" s="1402"/>
      <c r="DE645" s="1402"/>
      <c r="DF645" s="1402"/>
      <c r="DG645" s="1403"/>
      <c r="DH645" s="1401">
        <f t="shared" ref="DH645:DH654" si="39">IF(AND(CC645&gt;=1,AH787&gt;=0.1,AH787&lt;=1),O787,0)</f>
        <v>0</v>
      </c>
      <c r="DI645" s="1402"/>
      <c r="DJ645" s="1402"/>
      <c r="DK645" s="1402"/>
      <c r="DL645" s="1403"/>
      <c r="DM645" s="1401">
        <f t="shared" ref="DM645:DM654" si="40">IF(AND(CH645&gt;=1,AH787&gt;=0.1,AH787&lt;=1),O787,0)</f>
        <v>0</v>
      </c>
      <c r="DN645" s="1402"/>
      <c r="DO645" s="1402"/>
      <c r="DP645" s="1402"/>
      <c r="DQ645" s="1403"/>
      <c r="DR645" s="1401">
        <f t="shared" ref="DR645:DR654" si="41">IF(AND(CM645&gt;=1,AH787&gt;=0.1,AH787&lt;=1),O787,0)</f>
        <v>0</v>
      </c>
      <c r="DS645" s="1402"/>
      <c r="DT645" s="1402"/>
      <c r="DU645" s="1402"/>
      <c r="DV645" s="1403"/>
      <c r="DX645" s="1398" t="e">
        <f t="shared" si="29"/>
        <v>#VALUE!</v>
      </c>
      <c r="DY645" s="1398"/>
      <c r="DZ645" s="1398"/>
      <c r="EA645" s="1398"/>
      <c r="EB645" s="1398"/>
      <c r="EC645" s="1398" t="e">
        <f t="shared" si="24"/>
        <v>#VALUE!</v>
      </c>
      <c r="ED645" s="1398"/>
      <c r="EE645" s="1398"/>
      <c r="EF645" s="1398"/>
      <c r="EG645" s="1398"/>
      <c r="EH645" s="1398">
        <f t="shared" si="25"/>
        <v>219.09677419354838</v>
      </c>
      <c r="EI645" s="1398"/>
      <c r="EJ645" s="1398"/>
      <c r="EK645" s="1398"/>
      <c r="EL645" s="1398"/>
      <c r="EM645" s="1398" t="e">
        <f t="shared" si="26"/>
        <v>#VALUE!</v>
      </c>
      <c r="EN645" s="1398"/>
      <c r="EO645" s="1398"/>
      <c r="EP645" s="1398"/>
      <c r="EQ645" s="1398"/>
      <c r="ER645" s="1398" t="e">
        <f t="shared" si="27"/>
        <v>#VALUE!</v>
      </c>
      <c r="ES645" s="1398"/>
      <c r="ET645" s="1398"/>
      <c r="EU645" s="1398"/>
      <c r="EV645" s="1398"/>
      <c r="EW645" s="1398" t="e">
        <f t="shared" si="28"/>
        <v>#VALUE!</v>
      </c>
      <c r="EX645" s="1398"/>
      <c r="EY645" s="1398"/>
      <c r="EZ645" s="1398"/>
      <c r="FA645" s="1398"/>
    </row>
    <row r="646" spans="1:157" ht="12.9" customHeight="1">
      <c r="A646" s="22"/>
      <c r="B646" t="s">
        <v>17</v>
      </c>
      <c r="G646" s="1364" t="s">
        <v>2752</v>
      </c>
      <c r="H646" s="1364"/>
      <c r="I646" s="1364"/>
      <c r="J646" s="1364"/>
      <c r="K646" s="1364"/>
      <c r="L646" s="1364"/>
      <c r="M646" s="1364"/>
      <c r="N646" s="1364"/>
      <c r="O646" s="1364"/>
      <c r="P646" s="1364"/>
      <c r="Q646" s="1364"/>
      <c r="R646" s="1364"/>
      <c r="S646" s="8"/>
      <c r="T646" s="22"/>
      <c r="U646" t="s">
        <v>17</v>
      </c>
      <c r="Z646" s="1376" t="s">
        <v>2661</v>
      </c>
      <c r="AA646" s="1376"/>
      <c r="AB646" s="1376"/>
      <c r="AC646" s="1376"/>
      <c r="AD646" s="1376"/>
      <c r="AE646" s="1376"/>
      <c r="AF646" s="1376"/>
      <c r="AG646" s="1376"/>
      <c r="AH646" s="1376"/>
      <c r="AI646" s="1376"/>
      <c r="AJ646" s="1376"/>
      <c r="AK646" s="1376"/>
      <c r="AZ646" s="3"/>
      <c r="BA646" s="3"/>
      <c r="BB646" s="3"/>
      <c r="BC646" s="3"/>
      <c r="BD646" s="3"/>
      <c r="BE646" s="3"/>
      <c r="BF646" s="3"/>
      <c r="BG646" s="3"/>
      <c r="BH646" s="3"/>
      <c r="BI646" s="3"/>
      <c r="BJ646" s="3"/>
      <c r="BK646" s="3"/>
      <c r="BL646" s="3"/>
      <c r="BM646" s="3"/>
      <c r="BN646" s="1401">
        <f t="shared" si="30"/>
        <v>0</v>
      </c>
      <c r="BO646" s="1402"/>
      <c r="BP646" s="1402"/>
      <c r="BQ646" s="1402"/>
      <c r="BR646" s="1403"/>
      <c r="BS646" s="1406">
        <f t="shared" si="31"/>
        <v>0</v>
      </c>
      <c r="BT646" s="1406"/>
      <c r="BU646" s="1406"/>
      <c r="BV646" s="1406"/>
      <c r="BW646" s="1406"/>
      <c r="BX646" s="1406">
        <f t="shared" si="32"/>
        <v>0</v>
      </c>
      <c r="BY646" s="1406"/>
      <c r="BZ646" s="1406"/>
      <c r="CA646" s="1406"/>
      <c r="CB646" s="1406"/>
      <c r="CC646" s="1406">
        <f t="shared" si="33"/>
        <v>0</v>
      </c>
      <c r="CD646" s="1406"/>
      <c r="CE646" s="1406"/>
      <c r="CF646" s="1406"/>
      <c r="CG646" s="1406"/>
      <c r="CH646" s="1406">
        <f t="shared" si="34"/>
        <v>0</v>
      </c>
      <c r="CI646" s="1406"/>
      <c r="CJ646" s="1406"/>
      <c r="CK646" s="1406"/>
      <c r="CL646" s="1406"/>
      <c r="CM646" s="1406">
        <f t="shared" si="35"/>
        <v>0</v>
      </c>
      <c r="CN646" s="1406"/>
      <c r="CO646" s="1406"/>
      <c r="CP646" s="1406"/>
      <c r="CQ646" s="1406"/>
      <c r="CR646" s="6"/>
      <c r="CS646" s="1401">
        <f t="shared" si="36"/>
        <v>0</v>
      </c>
      <c r="CT646" s="1402"/>
      <c r="CU646" s="1402"/>
      <c r="CV646" s="1402"/>
      <c r="CW646" s="1403"/>
      <c r="CX646" s="1401">
        <f t="shared" si="37"/>
        <v>0</v>
      </c>
      <c r="CY646" s="1402"/>
      <c r="CZ646" s="1402"/>
      <c r="DA646" s="1402"/>
      <c r="DB646" s="1403"/>
      <c r="DC646" s="1401">
        <f t="shared" si="38"/>
        <v>0</v>
      </c>
      <c r="DD646" s="1402"/>
      <c r="DE646" s="1402"/>
      <c r="DF646" s="1402"/>
      <c r="DG646" s="1403"/>
      <c r="DH646" s="1401">
        <f t="shared" si="39"/>
        <v>0</v>
      </c>
      <c r="DI646" s="1402"/>
      <c r="DJ646" s="1402"/>
      <c r="DK646" s="1402"/>
      <c r="DL646" s="1403"/>
      <c r="DM646" s="1401">
        <f t="shared" si="40"/>
        <v>0</v>
      </c>
      <c r="DN646" s="1402"/>
      <c r="DO646" s="1402"/>
      <c r="DP646" s="1402"/>
      <c r="DQ646" s="1403"/>
      <c r="DR646" s="1401">
        <f t="shared" si="41"/>
        <v>0</v>
      </c>
      <c r="DS646" s="1402"/>
      <c r="DT646" s="1402"/>
      <c r="DU646" s="1402"/>
      <c r="DV646" s="1403"/>
      <c r="DX646" s="1398" t="e">
        <f t="shared" si="29"/>
        <v>#VALUE!</v>
      </c>
      <c r="DY646" s="1398"/>
      <c r="DZ646" s="1398"/>
      <c r="EA646" s="1398"/>
      <c r="EB646" s="1398"/>
      <c r="EC646" s="1398" t="e">
        <f t="shared" si="24"/>
        <v>#VALUE!</v>
      </c>
      <c r="ED646" s="1398"/>
      <c r="EE646" s="1398"/>
      <c r="EF646" s="1398"/>
      <c r="EG646" s="1398"/>
      <c r="EH646" s="1398">
        <f t="shared" si="25"/>
        <v>966.29032258064524</v>
      </c>
      <c r="EI646" s="1398"/>
      <c r="EJ646" s="1398"/>
      <c r="EK646" s="1398"/>
      <c r="EL646" s="1398"/>
      <c r="EM646" s="1398" t="e">
        <f t="shared" si="26"/>
        <v>#VALUE!</v>
      </c>
      <c r="EN646" s="1398"/>
      <c r="EO646" s="1398"/>
      <c r="EP646" s="1398"/>
      <c r="EQ646" s="1398"/>
      <c r="ER646" s="1398" t="e">
        <f t="shared" si="27"/>
        <v>#VALUE!</v>
      </c>
      <c r="ES646" s="1398"/>
      <c r="ET646" s="1398"/>
      <c r="EU646" s="1398"/>
      <c r="EV646" s="1398"/>
      <c r="EW646" s="1398" t="e">
        <f t="shared" si="28"/>
        <v>#VALUE!</v>
      </c>
      <c r="EX646" s="1398"/>
      <c r="EY646" s="1398"/>
      <c r="EZ646" s="1398"/>
      <c r="FA646" s="1398"/>
    </row>
    <row r="647" spans="1:157" ht="12.9" customHeight="1">
      <c r="A647" s="22"/>
      <c r="B647" t="s">
        <v>317</v>
      </c>
      <c r="G647" s="1396" t="s">
        <v>2753</v>
      </c>
      <c r="H647" s="1396"/>
      <c r="I647" s="1396"/>
      <c r="J647" s="1396"/>
      <c r="K647" s="1396"/>
      <c r="L647" s="1396"/>
      <c r="O647" s="33" t="s">
        <v>207</v>
      </c>
      <c r="P647" s="1377"/>
      <c r="Q647" s="1377"/>
      <c r="R647" s="1377"/>
      <c r="S647" s="10"/>
      <c r="T647" s="22"/>
      <c r="U647" t="s">
        <v>317</v>
      </c>
      <c r="Z647" s="1396" t="s">
        <v>2755</v>
      </c>
      <c r="AA647" s="1396"/>
      <c r="AB647" s="1396"/>
      <c r="AC647" s="1396"/>
      <c r="AD647" s="1396"/>
      <c r="AE647" s="1396"/>
      <c r="AH647" s="33" t="s">
        <v>207</v>
      </c>
      <c r="AI647" s="1377"/>
      <c r="AJ647" s="1377"/>
      <c r="AK647" s="1377"/>
      <c r="AZ647" s="34"/>
      <c r="BA647" s="34"/>
      <c r="BB647" s="34"/>
      <c r="BC647" s="34"/>
      <c r="BD647" s="34"/>
      <c r="BE647" s="34"/>
      <c r="BF647" s="34"/>
      <c r="BG647" s="34"/>
      <c r="BH647" s="34"/>
      <c r="BI647" s="34"/>
      <c r="BJ647" s="34"/>
      <c r="BK647" s="34"/>
      <c r="BL647" s="34"/>
      <c r="BM647" s="34"/>
      <c r="BN647" s="1401">
        <f t="shared" si="30"/>
        <v>0</v>
      </c>
      <c r="BO647" s="1402"/>
      <c r="BP647" s="1402"/>
      <c r="BQ647" s="1402"/>
      <c r="BR647" s="1403"/>
      <c r="BS647" s="1406">
        <f t="shared" si="31"/>
        <v>0</v>
      </c>
      <c r="BT647" s="1406"/>
      <c r="BU647" s="1406"/>
      <c r="BV647" s="1406"/>
      <c r="BW647" s="1406"/>
      <c r="BX647" s="1406">
        <f t="shared" si="32"/>
        <v>0</v>
      </c>
      <c r="BY647" s="1406"/>
      <c r="BZ647" s="1406"/>
      <c r="CA647" s="1406"/>
      <c r="CB647" s="1406"/>
      <c r="CC647" s="1406">
        <f t="shared" si="33"/>
        <v>0</v>
      </c>
      <c r="CD647" s="1406"/>
      <c r="CE647" s="1406"/>
      <c r="CF647" s="1406"/>
      <c r="CG647" s="1406"/>
      <c r="CH647" s="1406">
        <f t="shared" si="34"/>
        <v>0</v>
      </c>
      <c r="CI647" s="1406"/>
      <c r="CJ647" s="1406"/>
      <c r="CK647" s="1406"/>
      <c r="CL647" s="1406"/>
      <c r="CM647" s="1406">
        <f t="shared" si="35"/>
        <v>0</v>
      </c>
      <c r="CN647" s="1406"/>
      <c r="CO647" s="1406"/>
      <c r="CP647" s="1406"/>
      <c r="CQ647" s="1406"/>
      <c r="CR647" s="6"/>
      <c r="CS647" s="1401">
        <f t="shared" si="36"/>
        <v>0</v>
      </c>
      <c r="CT647" s="1402"/>
      <c r="CU647" s="1402"/>
      <c r="CV647" s="1402"/>
      <c r="CW647" s="1403"/>
      <c r="CX647" s="1401">
        <f t="shared" si="37"/>
        <v>0</v>
      </c>
      <c r="CY647" s="1402"/>
      <c r="CZ647" s="1402"/>
      <c r="DA647" s="1402"/>
      <c r="DB647" s="1403"/>
      <c r="DC647" s="1401">
        <f t="shared" si="38"/>
        <v>0</v>
      </c>
      <c r="DD647" s="1402"/>
      <c r="DE647" s="1402"/>
      <c r="DF647" s="1402"/>
      <c r="DG647" s="1403"/>
      <c r="DH647" s="1401">
        <f t="shared" si="39"/>
        <v>0</v>
      </c>
      <c r="DI647" s="1402"/>
      <c r="DJ647" s="1402"/>
      <c r="DK647" s="1402"/>
      <c r="DL647" s="1403"/>
      <c r="DM647" s="1401">
        <f t="shared" si="40"/>
        <v>0</v>
      </c>
      <c r="DN647" s="1402"/>
      <c r="DO647" s="1402"/>
      <c r="DP647" s="1402"/>
      <c r="DQ647" s="1403"/>
      <c r="DR647" s="1401">
        <f t="shared" si="41"/>
        <v>0</v>
      </c>
      <c r="DS647" s="1402"/>
      <c r="DT647" s="1402"/>
      <c r="DU647" s="1402"/>
      <c r="DV647" s="1403"/>
      <c r="DX647" s="1398" t="e">
        <f t="shared" si="29"/>
        <v>#VALUE!</v>
      </c>
      <c r="DY647" s="1398"/>
      <c r="DZ647" s="1398"/>
      <c r="EA647" s="1398"/>
      <c r="EB647" s="1398"/>
      <c r="EC647" s="1398" t="e">
        <f t="shared" si="24"/>
        <v>#VALUE!</v>
      </c>
      <c r="ED647" s="1398"/>
      <c r="EE647" s="1398"/>
      <c r="EF647" s="1398"/>
      <c r="EG647" s="1398"/>
      <c r="EH647" s="1398" t="e">
        <f t="shared" si="25"/>
        <v>#VALUE!</v>
      </c>
      <c r="EI647" s="1398"/>
      <c r="EJ647" s="1398"/>
      <c r="EK647" s="1398"/>
      <c r="EL647" s="1398"/>
      <c r="EM647" s="1398">
        <f t="shared" si="26"/>
        <v>33.199999999999996</v>
      </c>
      <c r="EN647" s="1398"/>
      <c r="EO647" s="1398"/>
      <c r="EP647" s="1398"/>
      <c r="EQ647" s="1398"/>
      <c r="ER647" s="1398" t="e">
        <f t="shared" si="27"/>
        <v>#VALUE!</v>
      </c>
      <c r="ES647" s="1398"/>
      <c r="ET647" s="1398"/>
      <c r="EU647" s="1398"/>
      <c r="EV647" s="1398"/>
      <c r="EW647" s="1398" t="e">
        <f t="shared" si="28"/>
        <v>#VALUE!</v>
      </c>
      <c r="EX647" s="1398"/>
      <c r="EY647" s="1398"/>
      <c r="EZ647" s="1398"/>
      <c r="FA647" s="1398"/>
    </row>
    <row r="648" spans="1:157" ht="12.9" customHeight="1">
      <c r="A648" s="22"/>
      <c r="B648" t="s">
        <v>18</v>
      </c>
      <c r="H648" s="1364" t="s">
        <v>2769</v>
      </c>
      <c r="I648" s="1364"/>
      <c r="J648" s="1364"/>
      <c r="K648" s="1364"/>
      <c r="L648" s="1364"/>
      <c r="M648" s="1364"/>
      <c r="N648" s="1364"/>
      <c r="O648" s="1364"/>
      <c r="P648" s="1364"/>
      <c r="Q648" s="1364"/>
      <c r="R648" s="1364"/>
      <c r="S648" s="8"/>
      <c r="T648" s="22"/>
      <c r="U648" t="s">
        <v>18</v>
      </c>
      <c r="AA648" s="1364" t="s">
        <v>2756</v>
      </c>
      <c r="AB648" s="1364"/>
      <c r="AC648" s="1364"/>
      <c r="AD648" s="1364"/>
      <c r="AE648" s="1364"/>
      <c r="AF648" s="1364"/>
      <c r="AG648" s="1364"/>
      <c r="AH648" s="1364"/>
      <c r="AI648" s="1364" t="s">
        <v>207</v>
      </c>
      <c r="AJ648" s="1364"/>
      <c r="AK648" s="1364"/>
      <c r="AZ648" s="34"/>
      <c r="BA648" s="34"/>
      <c r="BB648" s="34"/>
      <c r="BC648" s="34"/>
      <c r="BD648" s="34"/>
      <c r="BE648" s="34"/>
      <c r="BF648" s="34"/>
      <c r="BG648" s="34"/>
      <c r="BH648" s="34"/>
      <c r="BI648" s="34"/>
      <c r="BJ648" s="34"/>
      <c r="BK648" s="34"/>
      <c r="BL648" s="34"/>
      <c r="BM648" s="34"/>
      <c r="BN648" s="1401">
        <f t="shared" si="30"/>
        <v>0</v>
      </c>
      <c r="BO648" s="1402"/>
      <c r="BP648" s="1402"/>
      <c r="BQ648" s="1402"/>
      <c r="BR648" s="1403"/>
      <c r="BS648" s="1406">
        <f t="shared" si="31"/>
        <v>0</v>
      </c>
      <c r="BT648" s="1406"/>
      <c r="BU648" s="1406"/>
      <c r="BV648" s="1406"/>
      <c r="BW648" s="1406"/>
      <c r="BX648" s="1406">
        <f t="shared" si="32"/>
        <v>0</v>
      </c>
      <c r="BY648" s="1406"/>
      <c r="BZ648" s="1406"/>
      <c r="CA648" s="1406"/>
      <c r="CB648" s="1406"/>
      <c r="CC648" s="1406">
        <f t="shared" si="33"/>
        <v>0</v>
      </c>
      <c r="CD648" s="1406"/>
      <c r="CE648" s="1406"/>
      <c r="CF648" s="1406"/>
      <c r="CG648" s="1406"/>
      <c r="CH648" s="1406">
        <f t="shared" si="34"/>
        <v>0</v>
      </c>
      <c r="CI648" s="1406"/>
      <c r="CJ648" s="1406"/>
      <c r="CK648" s="1406"/>
      <c r="CL648" s="1406"/>
      <c r="CM648" s="1406">
        <f t="shared" si="35"/>
        <v>0</v>
      </c>
      <c r="CN648" s="1406"/>
      <c r="CO648" s="1406"/>
      <c r="CP648" s="1406"/>
      <c r="CQ648" s="1406"/>
      <c r="CR648" s="6"/>
      <c r="CS648" s="1401">
        <f t="shared" si="36"/>
        <v>0</v>
      </c>
      <c r="CT648" s="1402"/>
      <c r="CU648" s="1402"/>
      <c r="CV648" s="1402"/>
      <c r="CW648" s="1403"/>
      <c r="CX648" s="1401">
        <f t="shared" si="37"/>
        <v>0</v>
      </c>
      <c r="CY648" s="1402"/>
      <c r="CZ648" s="1402"/>
      <c r="DA648" s="1402"/>
      <c r="DB648" s="1403"/>
      <c r="DC648" s="1401">
        <f t="shared" si="38"/>
        <v>0</v>
      </c>
      <c r="DD648" s="1402"/>
      <c r="DE648" s="1402"/>
      <c r="DF648" s="1402"/>
      <c r="DG648" s="1403"/>
      <c r="DH648" s="1401">
        <f t="shared" si="39"/>
        <v>0</v>
      </c>
      <c r="DI648" s="1402"/>
      <c r="DJ648" s="1402"/>
      <c r="DK648" s="1402"/>
      <c r="DL648" s="1403"/>
      <c r="DM648" s="1401">
        <f t="shared" si="40"/>
        <v>0</v>
      </c>
      <c r="DN648" s="1402"/>
      <c r="DO648" s="1402"/>
      <c r="DP648" s="1402"/>
      <c r="DQ648" s="1403"/>
      <c r="DR648" s="1401">
        <f t="shared" si="41"/>
        <v>0</v>
      </c>
      <c r="DS648" s="1402"/>
      <c r="DT648" s="1402"/>
      <c r="DU648" s="1402"/>
      <c r="DV648" s="1403"/>
      <c r="DX648" s="1398" t="e">
        <f t="shared" si="29"/>
        <v>#VALUE!</v>
      </c>
      <c r="DY648" s="1398"/>
      <c r="DZ648" s="1398"/>
      <c r="EA648" s="1398"/>
      <c r="EB648" s="1398"/>
      <c r="EC648" s="1398" t="e">
        <f t="shared" si="24"/>
        <v>#VALUE!</v>
      </c>
      <c r="ED648" s="1398"/>
      <c r="EE648" s="1398"/>
      <c r="EF648" s="1398"/>
      <c r="EG648" s="1398"/>
      <c r="EH648" s="1398" t="e">
        <f t="shared" si="25"/>
        <v>#VALUE!</v>
      </c>
      <c r="EI648" s="1398"/>
      <c r="EJ648" s="1398"/>
      <c r="EK648" s="1398"/>
      <c r="EL648" s="1398"/>
      <c r="EM648" s="1398">
        <f t="shared" si="26"/>
        <v>66.399999999999991</v>
      </c>
      <c r="EN648" s="1398"/>
      <c r="EO648" s="1398"/>
      <c r="EP648" s="1398"/>
      <c r="EQ648" s="1398"/>
      <c r="ER648" s="1398" t="e">
        <f t="shared" si="27"/>
        <v>#VALUE!</v>
      </c>
      <c r="ES648" s="1398"/>
      <c r="ET648" s="1398"/>
      <c r="EU648" s="1398"/>
      <c r="EV648" s="1398"/>
      <c r="EW648" s="1398" t="e">
        <f t="shared" si="28"/>
        <v>#VALUE!</v>
      </c>
      <c r="EX648" s="1398"/>
      <c r="EY648" s="1398"/>
      <c r="EZ648" s="1398"/>
      <c r="FA648" s="1398"/>
    </row>
    <row r="649" spans="1:157" ht="12.9" customHeight="1">
      <c r="A649" s="22"/>
      <c r="B649" t="s">
        <v>20</v>
      </c>
      <c r="N649" s="1374" t="s">
        <v>553</v>
      </c>
      <c r="O649" s="1374"/>
      <c r="T649" s="22"/>
      <c r="U649" t="s">
        <v>20</v>
      </c>
      <c r="AG649" s="1374" t="s">
        <v>553</v>
      </c>
      <c r="AH649" s="1374"/>
      <c r="AZ649" s="34"/>
      <c r="BA649" s="34"/>
      <c r="BB649" s="34"/>
      <c r="BC649" s="34"/>
      <c r="BD649" s="34"/>
      <c r="BE649" s="34"/>
      <c r="BF649" s="34"/>
      <c r="BG649" s="34"/>
      <c r="BH649" s="34"/>
      <c r="BI649" s="34"/>
      <c r="BJ649" s="34"/>
      <c r="BK649" s="34"/>
      <c r="BL649" s="34"/>
      <c r="BM649" s="34"/>
      <c r="BN649" s="1401">
        <f t="shared" si="30"/>
        <v>0</v>
      </c>
      <c r="BO649" s="1402"/>
      <c r="BP649" s="1402"/>
      <c r="BQ649" s="1402"/>
      <c r="BR649" s="1403"/>
      <c r="BS649" s="1406">
        <f t="shared" si="31"/>
        <v>0</v>
      </c>
      <c r="BT649" s="1406"/>
      <c r="BU649" s="1406"/>
      <c r="BV649" s="1406"/>
      <c r="BW649" s="1406"/>
      <c r="BX649" s="1406">
        <f t="shared" si="32"/>
        <v>0</v>
      </c>
      <c r="BY649" s="1406"/>
      <c r="BZ649" s="1406"/>
      <c r="CA649" s="1406"/>
      <c r="CB649" s="1406"/>
      <c r="CC649" s="1406">
        <f t="shared" si="33"/>
        <v>0</v>
      </c>
      <c r="CD649" s="1406"/>
      <c r="CE649" s="1406"/>
      <c r="CF649" s="1406"/>
      <c r="CG649" s="1406"/>
      <c r="CH649" s="1406">
        <f t="shared" si="34"/>
        <v>0</v>
      </c>
      <c r="CI649" s="1406"/>
      <c r="CJ649" s="1406"/>
      <c r="CK649" s="1406"/>
      <c r="CL649" s="1406"/>
      <c r="CM649" s="1406">
        <f t="shared" si="35"/>
        <v>0</v>
      </c>
      <c r="CN649" s="1406"/>
      <c r="CO649" s="1406"/>
      <c r="CP649" s="1406"/>
      <c r="CQ649" s="1406"/>
      <c r="CR649" s="6"/>
      <c r="CS649" s="1401">
        <f t="shared" si="36"/>
        <v>0</v>
      </c>
      <c r="CT649" s="1402"/>
      <c r="CU649" s="1402"/>
      <c r="CV649" s="1402"/>
      <c r="CW649" s="1403"/>
      <c r="CX649" s="1401">
        <f t="shared" si="37"/>
        <v>0</v>
      </c>
      <c r="CY649" s="1402"/>
      <c r="CZ649" s="1402"/>
      <c r="DA649" s="1402"/>
      <c r="DB649" s="1403"/>
      <c r="DC649" s="1401">
        <f t="shared" si="38"/>
        <v>0</v>
      </c>
      <c r="DD649" s="1402"/>
      <c r="DE649" s="1402"/>
      <c r="DF649" s="1402"/>
      <c r="DG649" s="1403"/>
      <c r="DH649" s="1401">
        <f t="shared" si="39"/>
        <v>0</v>
      </c>
      <c r="DI649" s="1402"/>
      <c r="DJ649" s="1402"/>
      <c r="DK649" s="1402"/>
      <c r="DL649" s="1403"/>
      <c r="DM649" s="1401">
        <f t="shared" si="40"/>
        <v>0</v>
      </c>
      <c r="DN649" s="1402"/>
      <c r="DO649" s="1402"/>
      <c r="DP649" s="1402"/>
      <c r="DQ649" s="1403"/>
      <c r="DR649" s="1401">
        <f t="shared" si="41"/>
        <v>0</v>
      </c>
      <c r="DS649" s="1402"/>
      <c r="DT649" s="1402"/>
      <c r="DU649" s="1402"/>
      <c r="DV649" s="1403"/>
      <c r="DX649" s="1398" t="e">
        <f t="shared" si="29"/>
        <v>#VALUE!</v>
      </c>
      <c r="DY649" s="1398"/>
      <c r="DZ649" s="1398"/>
      <c r="EA649" s="1398"/>
      <c r="EB649" s="1398"/>
      <c r="EC649" s="1398" t="e">
        <f t="shared" si="24"/>
        <v>#VALUE!</v>
      </c>
      <c r="ED649" s="1398"/>
      <c r="EE649" s="1398"/>
      <c r="EF649" s="1398"/>
      <c r="EG649" s="1398"/>
      <c r="EH649" s="1398" t="e">
        <f t="shared" si="25"/>
        <v>#VALUE!</v>
      </c>
      <c r="EI649" s="1398"/>
      <c r="EJ649" s="1398"/>
      <c r="EK649" s="1398"/>
      <c r="EL649" s="1398"/>
      <c r="EM649" s="1398">
        <f t="shared" si="26"/>
        <v>137.23636363636362</v>
      </c>
      <c r="EN649" s="1398"/>
      <c r="EO649" s="1398"/>
      <c r="EP649" s="1398"/>
      <c r="EQ649" s="1398"/>
      <c r="ER649" s="1398" t="e">
        <f t="shared" si="27"/>
        <v>#VALUE!</v>
      </c>
      <c r="ES649" s="1398"/>
      <c r="ET649" s="1398"/>
      <c r="EU649" s="1398"/>
      <c r="EV649" s="1398"/>
      <c r="EW649" s="1398" t="e">
        <f t="shared" si="28"/>
        <v>#VALUE!</v>
      </c>
      <c r="EX649" s="1398"/>
      <c r="EY649" s="1398"/>
      <c r="EZ649" s="1398"/>
      <c r="FA649" s="1398"/>
    </row>
    <row r="650" spans="1:157" ht="12.9" customHeight="1">
      <c r="A650" s="22"/>
      <c r="T650" s="22"/>
      <c r="AZ650" s="34"/>
      <c r="BA650" s="34"/>
      <c r="BB650" s="34"/>
      <c r="BC650" s="34"/>
      <c r="BD650" s="34"/>
      <c r="BE650" s="34"/>
      <c r="BF650" s="34"/>
      <c r="BG650" s="34"/>
      <c r="BH650" s="34"/>
      <c r="BI650" s="34"/>
      <c r="BJ650" s="34"/>
      <c r="BK650" s="34"/>
      <c r="BL650" s="34"/>
      <c r="BM650" s="34"/>
      <c r="BN650" s="1401">
        <f t="shared" si="30"/>
        <v>0</v>
      </c>
      <c r="BO650" s="1402"/>
      <c r="BP650" s="1402"/>
      <c r="BQ650" s="1402"/>
      <c r="BR650" s="1403"/>
      <c r="BS650" s="1406">
        <f t="shared" si="31"/>
        <v>0</v>
      </c>
      <c r="BT650" s="1406"/>
      <c r="BU650" s="1406"/>
      <c r="BV650" s="1406"/>
      <c r="BW650" s="1406"/>
      <c r="BX650" s="1406">
        <f t="shared" si="32"/>
        <v>0</v>
      </c>
      <c r="BY650" s="1406"/>
      <c r="BZ650" s="1406"/>
      <c r="CA650" s="1406"/>
      <c r="CB650" s="1406"/>
      <c r="CC650" s="1406">
        <f t="shared" si="33"/>
        <v>0</v>
      </c>
      <c r="CD650" s="1406"/>
      <c r="CE650" s="1406"/>
      <c r="CF650" s="1406"/>
      <c r="CG650" s="1406"/>
      <c r="CH650" s="1406">
        <f t="shared" si="34"/>
        <v>0</v>
      </c>
      <c r="CI650" s="1406"/>
      <c r="CJ650" s="1406"/>
      <c r="CK650" s="1406"/>
      <c r="CL650" s="1406"/>
      <c r="CM650" s="1406">
        <f t="shared" si="35"/>
        <v>0</v>
      </c>
      <c r="CN650" s="1406"/>
      <c r="CO650" s="1406"/>
      <c r="CP650" s="1406"/>
      <c r="CQ650" s="1406"/>
      <c r="CR650" s="6"/>
      <c r="CS650" s="1401">
        <f t="shared" si="36"/>
        <v>0</v>
      </c>
      <c r="CT650" s="1402"/>
      <c r="CU650" s="1402"/>
      <c r="CV650" s="1402"/>
      <c r="CW650" s="1403"/>
      <c r="CX650" s="1401">
        <f t="shared" si="37"/>
        <v>0</v>
      </c>
      <c r="CY650" s="1402"/>
      <c r="CZ650" s="1402"/>
      <c r="DA650" s="1402"/>
      <c r="DB650" s="1403"/>
      <c r="DC650" s="1401">
        <f t="shared" si="38"/>
        <v>0</v>
      </c>
      <c r="DD650" s="1402"/>
      <c r="DE650" s="1402"/>
      <c r="DF650" s="1402"/>
      <c r="DG650" s="1403"/>
      <c r="DH650" s="1401">
        <f t="shared" si="39"/>
        <v>0</v>
      </c>
      <c r="DI650" s="1402"/>
      <c r="DJ650" s="1402"/>
      <c r="DK650" s="1402"/>
      <c r="DL650" s="1403"/>
      <c r="DM650" s="1401">
        <f t="shared" si="40"/>
        <v>0</v>
      </c>
      <c r="DN650" s="1402"/>
      <c r="DO650" s="1402"/>
      <c r="DP650" s="1402"/>
      <c r="DQ650" s="1403"/>
      <c r="DR650" s="1401">
        <f t="shared" si="41"/>
        <v>0</v>
      </c>
      <c r="DS650" s="1402"/>
      <c r="DT650" s="1402"/>
      <c r="DU650" s="1402"/>
      <c r="DV650" s="1403"/>
      <c r="DX650" s="1398" t="e">
        <f t="shared" si="29"/>
        <v>#VALUE!</v>
      </c>
      <c r="DY650" s="1398"/>
      <c r="DZ650" s="1398"/>
      <c r="EA650" s="1398"/>
      <c r="EB650" s="1398"/>
      <c r="EC650" s="1398" t="e">
        <f t="shared" si="24"/>
        <v>#VALUE!</v>
      </c>
      <c r="ED650" s="1398"/>
      <c r="EE650" s="1398"/>
      <c r="EF650" s="1398"/>
      <c r="EG650" s="1398"/>
      <c r="EH650" s="1398" t="e">
        <f t="shared" si="25"/>
        <v>#VALUE!</v>
      </c>
      <c r="EI650" s="1398"/>
      <c r="EJ650" s="1398"/>
      <c r="EK650" s="1398"/>
      <c r="EL650" s="1398"/>
      <c r="EM650" s="1398">
        <f t="shared" si="26"/>
        <v>174.87272727272727</v>
      </c>
      <c r="EN650" s="1398"/>
      <c r="EO650" s="1398"/>
      <c r="EP650" s="1398"/>
      <c r="EQ650" s="1398"/>
      <c r="ER650" s="1398" t="e">
        <f t="shared" si="27"/>
        <v>#VALUE!</v>
      </c>
      <c r="ES650" s="1398"/>
      <c r="ET650" s="1398"/>
      <c r="EU650" s="1398"/>
      <c r="EV650" s="1398"/>
      <c r="EW650" s="1398" t="e">
        <f t="shared" si="28"/>
        <v>#VALUE!</v>
      </c>
      <c r="EX650" s="1398"/>
      <c r="EY650" s="1398"/>
      <c r="EZ650" s="1398"/>
      <c r="FA650" s="1398"/>
    </row>
    <row r="651" spans="1:157" ht="12.9" customHeight="1">
      <c r="A651" s="55" t="s">
        <v>119</v>
      </c>
      <c r="B651" t="s">
        <v>471</v>
      </c>
      <c r="G651" s="1375" t="str">
        <f>C629</f>
        <v>Inclusionary Housing Funds</v>
      </c>
      <c r="H651" s="1375"/>
      <c r="I651" s="1375"/>
      <c r="J651" s="1375"/>
      <c r="K651" s="1375"/>
      <c r="L651" s="1375"/>
      <c r="M651" s="1375"/>
      <c r="N651" s="1375"/>
      <c r="O651" s="1375"/>
      <c r="P651" s="1375"/>
      <c r="Q651" s="1375"/>
      <c r="R651" s="1375"/>
      <c r="T651" s="55" t="s">
        <v>589</v>
      </c>
      <c r="U651" t="s">
        <v>471</v>
      </c>
      <c r="Z651" s="1375" t="str">
        <f>C630</f>
        <v>Deferred Developer Fee</v>
      </c>
      <c r="AA651" s="1375"/>
      <c r="AB651" s="1375"/>
      <c r="AC651" s="1375"/>
      <c r="AD651" s="1375"/>
      <c r="AE651" s="1375"/>
      <c r="AF651" s="1375"/>
      <c r="AG651" s="1375"/>
      <c r="AH651" s="1375"/>
      <c r="AI651" s="1375"/>
      <c r="AJ651" s="1375"/>
      <c r="AK651" s="1375"/>
      <c r="AZ651" s="34"/>
      <c r="BA651" s="34"/>
      <c r="BB651" s="34"/>
      <c r="BC651" s="34"/>
      <c r="BD651" s="34"/>
      <c r="BE651" s="34"/>
      <c r="BF651" s="34"/>
      <c r="BG651" s="34"/>
      <c r="BH651" s="34"/>
      <c r="BI651" s="34"/>
      <c r="BJ651" s="34"/>
      <c r="BK651" s="34"/>
      <c r="BL651" s="34"/>
      <c r="BM651" s="34"/>
      <c r="BN651" s="1401">
        <f t="shared" si="30"/>
        <v>0</v>
      </c>
      <c r="BO651" s="1402"/>
      <c r="BP651" s="1402"/>
      <c r="BQ651" s="1402"/>
      <c r="BR651" s="1403"/>
      <c r="BS651" s="1406">
        <f t="shared" si="31"/>
        <v>0</v>
      </c>
      <c r="BT651" s="1406"/>
      <c r="BU651" s="1406"/>
      <c r="BV651" s="1406"/>
      <c r="BW651" s="1406"/>
      <c r="BX651" s="1406">
        <f t="shared" si="32"/>
        <v>0</v>
      </c>
      <c r="BY651" s="1406"/>
      <c r="BZ651" s="1406"/>
      <c r="CA651" s="1406"/>
      <c r="CB651" s="1406"/>
      <c r="CC651" s="1406">
        <f t="shared" si="33"/>
        <v>0</v>
      </c>
      <c r="CD651" s="1406"/>
      <c r="CE651" s="1406"/>
      <c r="CF651" s="1406"/>
      <c r="CG651" s="1406"/>
      <c r="CH651" s="1406">
        <f t="shared" si="34"/>
        <v>0</v>
      </c>
      <c r="CI651" s="1406"/>
      <c r="CJ651" s="1406"/>
      <c r="CK651" s="1406"/>
      <c r="CL651" s="1406"/>
      <c r="CM651" s="1406">
        <f t="shared" si="35"/>
        <v>0</v>
      </c>
      <c r="CN651" s="1406"/>
      <c r="CO651" s="1406"/>
      <c r="CP651" s="1406"/>
      <c r="CQ651" s="1406"/>
      <c r="CR651" s="6"/>
      <c r="CS651" s="1401">
        <f t="shared" si="36"/>
        <v>0</v>
      </c>
      <c r="CT651" s="1402"/>
      <c r="CU651" s="1402"/>
      <c r="CV651" s="1402"/>
      <c r="CW651" s="1403"/>
      <c r="CX651" s="1401">
        <f t="shared" si="37"/>
        <v>0</v>
      </c>
      <c r="CY651" s="1402"/>
      <c r="CZ651" s="1402"/>
      <c r="DA651" s="1402"/>
      <c r="DB651" s="1403"/>
      <c r="DC651" s="1401">
        <f t="shared" si="38"/>
        <v>0</v>
      </c>
      <c r="DD651" s="1402"/>
      <c r="DE651" s="1402"/>
      <c r="DF651" s="1402"/>
      <c r="DG651" s="1403"/>
      <c r="DH651" s="1401">
        <f t="shared" si="39"/>
        <v>0</v>
      </c>
      <c r="DI651" s="1402"/>
      <c r="DJ651" s="1402"/>
      <c r="DK651" s="1402"/>
      <c r="DL651" s="1403"/>
      <c r="DM651" s="1401">
        <f t="shared" si="40"/>
        <v>0</v>
      </c>
      <c r="DN651" s="1402"/>
      <c r="DO651" s="1402"/>
      <c r="DP651" s="1402"/>
      <c r="DQ651" s="1403"/>
      <c r="DR651" s="1401">
        <f t="shared" si="41"/>
        <v>0</v>
      </c>
      <c r="DS651" s="1402"/>
      <c r="DT651" s="1402"/>
      <c r="DU651" s="1402"/>
      <c r="DV651" s="1403"/>
      <c r="DX651" s="1398" t="e">
        <f t="shared" si="29"/>
        <v>#VALUE!</v>
      </c>
      <c r="DY651" s="1398"/>
      <c r="DZ651" s="1398"/>
      <c r="EA651" s="1398"/>
      <c r="EB651" s="1398"/>
      <c r="EC651" s="1398" t="e">
        <f t="shared" si="24"/>
        <v>#VALUE!</v>
      </c>
      <c r="ED651" s="1398"/>
      <c r="EE651" s="1398"/>
      <c r="EF651" s="1398"/>
      <c r="EG651" s="1398"/>
      <c r="EH651" s="1398" t="e">
        <f t="shared" si="25"/>
        <v>#VALUE!</v>
      </c>
      <c r="EI651" s="1398"/>
      <c r="EJ651" s="1398"/>
      <c r="EK651" s="1398"/>
      <c r="EL651" s="1398"/>
      <c r="EM651" s="1398">
        <f t="shared" si="26"/>
        <v>212.6181818181818</v>
      </c>
      <c r="EN651" s="1398"/>
      <c r="EO651" s="1398"/>
      <c r="EP651" s="1398"/>
      <c r="EQ651" s="1398"/>
      <c r="ER651" s="1398" t="e">
        <f t="shared" si="27"/>
        <v>#VALUE!</v>
      </c>
      <c r="ES651" s="1398"/>
      <c r="ET651" s="1398"/>
      <c r="EU651" s="1398"/>
      <c r="EV651" s="1398"/>
      <c r="EW651" s="1398" t="e">
        <f t="shared" si="28"/>
        <v>#VALUE!</v>
      </c>
      <c r="EX651" s="1398"/>
      <c r="EY651" s="1398"/>
      <c r="EZ651" s="1398"/>
      <c r="FA651" s="1398"/>
    </row>
    <row r="652" spans="1:157" ht="12.9" customHeight="1">
      <c r="A652" s="22"/>
      <c r="B652" t="s">
        <v>85</v>
      </c>
      <c r="G652" s="1364" t="s">
        <v>2754</v>
      </c>
      <c r="H652" s="1364"/>
      <c r="I652" s="1364"/>
      <c r="J652" s="1364"/>
      <c r="K652" s="1364"/>
      <c r="L652" s="1364"/>
      <c r="M652" s="1364"/>
      <c r="N652" s="1364"/>
      <c r="O652" s="1364"/>
      <c r="P652" s="1364"/>
      <c r="Q652" s="1364"/>
      <c r="R652" s="1364"/>
      <c r="T652" s="22"/>
      <c r="U652" t="s">
        <v>85</v>
      </c>
      <c r="Z652" s="1364" t="s">
        <v>2677</v>
      </c>
      <c r="AA652" s="1364"/>
      <c r="AB652" s="1364"/>
      <c r="AC652" s="1364"/>
      <c r="AD652" s="1364"/>
      <c r="AE652" s="1364"/>
      <c r="AF652" s="1364"/>
      <c r="AG652" s="1364"/>
      <c r="AH652" s="1364"/>
      <c r="AI652" s="1364"/>
      <c r="AJ652" s="1364"/>
      <c r="AK652" s="1364"/>
      <c r="AZ652" s="34"/>
      <c r="BA652" s="34"/>
      <c r="BB652" s="34"/>
      <c r="BC652" s="34"/>
      <c r="BD652" s="34"/>
      <c r="BE652" s="34"/>
      <c r="BF652" s="34"/>
      <c r="BG652" s="34"/>
      <c r="BH652" s="34"/>
      <c r="BI652" s="34"/>
      <c r="BJ652" s="34"/>
      <c r="BK652" s="34"/>
      <c r="BL652" s="34"/>
      <c r="BM652" s="34"/>
      <c r="BN652" s="1401">
        <f t="shared" si="30"/>
        <v>0</v>
      </c>
      <c r="BO652" s="1402"/>
      <c r="BP652" s="1402"/>
      <c r="BQ652" s="1402"/>
      <c r="BR652" s="1403"/>
      <c r="BS652" s="1406">
        <f t="shared" si="31"/>
        <v>0</v>
      </c>
      <c r="BT652" s="1406"/>
      <c r="BU652" s="1406"/>
      <c r="BV652" s="1406"/>
      <c r="BW652" s="1406"/>
      <c r="BX652" s="1406">
        <f t="shared" si="32"/>
        <v>0</v>
      </c>
      <c r="BY652" s="1406"/>
      <c r="BZ652" s="1406"/>
      <c r="CA652" s="1406"/>
      <c r="CB652" s="1406"/>
      <c r="CC652" s="1406">
        <f t="shared" si="33"/>
        <v>0</v>
      </c>
      <c r="CD652" s="1406"/>
      <c r="CE652" s="1406"/>
      <c r="CF652" s="1406"/>
      <c r="CG652" s="1406"/>
      <c r="CH652" s="1406">
        <f t="shared" si="34"/>
        <v>0</v>
      </c>
      <c r="CI652" s="1406"/>
      <c r="CJ652" s="1406"/>
      <c r="CK652" s="1406"/>
      <c r="CL652" s="1406"/>
      <c r="CM652" s="1406">
        <f t="shared" si="35"/>
        <v>0</v>
      </c>
      <c r="CN652" s="1406"/>
      <c r="CO652" s="1406"/>
      <c r="CP652" s="1406"/>
      <c r="CQ652" s="1406"/>
      <c r="CR652" s="6"/>
      <c r="CS652" s="1401">
        <f t="shared" si="36"/>
        <v>0</v>
      </c>
      <c r="CT652" s="1402"/>
      <c r="CU652" s="1402"/>
      <c r="CV652" s="1402"/>
      <c r="CW652" s="1403"/>
      <c r="CX652" s="1401">
        <f t="shared" si="37"/>
        <v>0</v>
      </c>
      <c r="CY652" s="1402"/>
      <c r="CZ652" s="1402"/>
      <c r="DA652" s="1402"/>
      <c r="DB652" s="1403"/>
      <c r="DC652" s="1401">
        <f t="shared" si="38"/>
        <v>0</v>
      </c>
      <c r="DD652" s="1402"/>
      <c r="DE652" s="1402"/>
      <c r="DF652" s="1402"/>
      <c r="DG652" s="1403"/>
      <c r="DH652" s="1401">
        <f t="shared" si="39"/>
        <v>0</v>
      </c>
      <c r="DI652" s="1402"/>
      <c r="DJ652" s="1402"/>
      <c r="DK652" s="1402"/>
      <c r="DL652" s="1403"/>
      <c r="DM652" s="1401">
        <f t="shared" si="40"/>
        <v>0</v>
      </c>
      <c r="DN652" s="1402"/>
      <c r="DO652" s="1402"/>
      <c r="DP652" s="1402"/>
      <c r="DQ652" s="1403"/>
      <c r="DR652" s="1401">
        <f t="shared" si="41"/>
        <v>0</v>
      </c>
      <c r="DS652" s="1402"/>
      <c r="DT652" s="1402"/>
      <c r="DU652" s="1402"/>
      <c r="DV652" s="1403"/>
      <c r="DX652" s="1398" t="e">
        <f t="shared" si="29"/>
        <v>#VALUE!</v>
      </c>
      <c r="DY652" s="1398"/>
      <c r="DZ652" s="1398"/>
      <c r="EA652" s="1398"/>
      <c r="EB652" s="1398"/>
      <c r="EC652" s="1398" t="e">
        <f t="shared" si="24"/>
        <v>#VALUE!</v>
      </c>
      <c r="ED652" s="1398"/>
      <c r="EE652" s="1398"/>
      <c r="EF652" s="1398"/>
      <c r="EG652" s="1398"/>
      <c r="EH652" s="1398" t="e">
        <f t="shared" si="25"/>
        <v>#VALUE!</v>
      </c>
      <c r="EI652" s="1398"/>
      <c r="EJ652" s="1398"/>
      <c r="EK652" s="1398"/>
      <c r="EL652" s="1398"/>
      <c r="EM652" s="1398">
        <f t="shared" si="26"/>
        <v>1292.9818181818182</v>
      </c>
      <c r="EN652" s="1398"/>
      <c r="EO652" s="1398"/>
      <c r="EP652" s="1398"/>
      <c r="EQ652" s="1398"/>
      <c r="ER652" s="1398" t="e">
        <f t="shared" si="27"/>
        <v>#VALUE!</v>
      </c>
      <c r="ES652" s="1398"/>
      <c r="ET652" s="1398"/>
      <c r="EU652" s="1398"/>
      <c r="EV652" s="1398"/>
      <c r="EW652" s="1398" t="e">
        <f t="shared" si="28"/>
        <v>#VALUE!</v>
      </c>
      <c r="EX652" s="1398"/>
      <c r="EY652" s="1398"/>
      <c r="EZ652" s="1398"/>
      <c r="FA652" s="1398"/>
    </row>
    <row r="653" spans="1:157" ht="12.9" customHeight="1">
      <c r="A653" s="22"/>
      <c r="B653" t="s">
        <v>588</v>
      </c>
      <c r="G653" s="1376" t="s">
        <v>2636</v>
      </c>
      <c r="H653" s="1376"/>
      <c r="I653" s="1376"/>
      <c r="J653" s="1376"/>
      <c r="K653" s="1376"/>
      <c r="L653" s="1376"/>
      <c r="M653" s="1376"/>
      <c r="N653" s="1376"/>
      <c r="O653" s="1376"/>
      <c r="P653" s="1376"/>
      <c r="Q653" s="1376"/>
      <c r="R653" s="1376"/>
      <c r="T653" s="22"/>
      <c r="U653" t="s">
        <v>588</v>
      </c>
      <c r="Z653" s="1376" t="s">
        <v>2761</v>
      </c>
      <c r="AA653" s="1376"/>
      <c r="AB653" s="1376"/>
      <c r="AC653" s="1376"/>
      <c r="AD653" s="1376"/>
      <c r="AE653" s="1376"/>
      <c r="AF653" s="1376"/>
      <c r="AG653" s="1376"/>
      <c r="AH653" s="1376"/>
      <c r="AI653" s="1376"/>
      <c r="AJ653" s="1376"/>
      <c r="AK653" s="1376"/>
      <c r="AZ653" s="34"/>
      <c r="BA653" s="34"/>
      <c r="BB653" s="34"/>
      <c r="BC653" s="34"/>
      <c r="BD653" s="34"/>
      <c r="BE653" s="34"/>
      <c r="BF653" s="34"/>
      <c r="BG653" s="34"/>
      <c r="BH653" s="34"/>
      <c r="BI653" s="34"/>
      <c r="BJ653" s="34"/>
      <c r="BK653" s="34"/>
      <c r="BL653" s="34"/>
      <c r="BM653" s="34"/>
      <c r="BN653" s="1401">
        <f t="shared" si="30"/>
        <v>0</v>
      </c>
      <c r="BO653" s="1402"/>
      <c r="BP653" s="1402"/>
      <c r="BQ653" s="1402"/>
      <c r="BR653" s="1403"/>
      <c r="BS653" s="1406">
        <f t="shared" si="31"/>
        <v>0</v>
      </c>
      <c r="BT653" s="1406"/>
      <c r="BU653" s="1406"/>
      <c r="BV653" s="1406"/>
      <c r="BW653" s="1406"/>
      <c r="BX653" s="1406">
        <f t="shared" si="32"/>
        <v>0</v>
      </c>
      <c r="BY653" s="1406"/>
      <c r="BZ653" s="1406"/>
      <c r="CA653" s="1406"/>
      <c r="CB653" s="1406"/>
      <c r="CC653" s="1406">
        <f t="shared" si="33"/>
        <v>0</v>
      </c>
      <c r="CD653" s="1406"/>
      <c r="CE653" s="1406"/>
      <c r="CF653" s="1406"/>
      <c r="CG653" s="1406"/>
      <c r="CH653" s="1406">
        <f t="shared" si="34"/>
        <v>0</v>
      </c>
      <c r="CI653" s="1406"/>
      <c r="CJ653" s="1406"/>
      <c r="CK653" s="1406"/>
      <c r="CL653" s="1406"/>
      <c r="CM653" s="1406">
        <f t="shared" si="35"/>
        <v>0</v>
      </c>
      <c r="CN653" s="1406"/>
      <c r="CO653" s="1406"/>
      <c r="CP653" s="1406"/>
      <c r="CQ653" s="1406"/>
      <c r="CR653" s="6"/>
      <c r="CS653" s="1401">
        <f t="shared" si="36"/>
        <v>0</v>
      </c>
      <c r="CT653" s="1402"/>
      <c r="CU653" s="1402"/>
      <c r="CV653" s="1402"/>
      <c r="CW653" s="1403"/>
      <c r="CX653" s="1401">
        <f t="shared" si="37"/>
        <v>0</v>
      </c>
      <c r="CY653" s="1402"/>
      <c r="CZ653" s="1402"/>
      <c r="DA653" s="1402"/>
      <c r="DB653" s="1403"/>
      <c r="DC653" s="1401">
        <f t="shared" si="38"/>
        <v>0</v>
      </c>
      <c r="DD653" s="1402"/>
      <c r="DE653" s="1402"/>
      <c r="DF653" s="1402"/>
      <c r="DG653" s="1403"/>
      <c r="DH653" s="1401">
        <f t="shared" si="39"/>
        <v>0</v>
      </c>
      <c r="DI653" s="1402"/>
      <c r="DJ653" s="1402"/>
      <c r="DK653" s="1402"/>
      <c r="DL653" s="1403"/>
      <c r="DM653" s="1401">
        <f t="shared" si="40"/>
        <v>0</v>
      </c>
      <c r="DN653" s="1402"/>
      <c r="DO653" s="1402"/>
      <c r="DP653" s="1402"/>
      <c r="DQ653" s="1403"/>
      <c r="DR653" s="1401">
        <f t="shared" si="41"/>
        <v>0</v>
      </c>
      <c r="DS653" s="1402"/>
      <c r="DT653" s="1402"/>
      <c r="DU653" s="1402"/>
      <c r="DV653" s="1403"/>
      <c r="DX653" s="1398" t="e">
        <f t="shared" si="29"/>
        <v>#VALUE!</v>
      </c>
      <c r="DY653" s="1398"/>
      <c r="DZ653" s="1398"/>
      <c r="EA653" s="1398"/>
      <c r="EB653" s="1398"/>
      <c r="EC653" s="1398" t="e">
        <f t="shared" si="24"/>
        <v>#VALUE!</v>
      </c>
      <c r="ED653" s="1398"/>
      <c r="EE653" s="1398"/>
      <c r="EF653" s="1398"/>
      <c r="EG653" s="1398"/>
      <c r="EH653" s="1398" t="e">
        <f t="shared" si="25"/>
        <v>#VALUE!</v>
      </c>
      <c r="EI653" s="1398"/>
      <c r="EJ653" s="1398"/>
      <c r="EK653" s="1398"/>
      <c r="EL653" s="1398"/>
      <c r="EM653" s="1398" t="e">
        <f t="shared" si="26"/>
        <v>#VALUE!</v>
      </c>
      <c r="EN653" s="1398"/>
      <c r="EO653" s="1398"/>
      <c r="EP653" s="1398"/>
      <c r="EQ653" s="1398"/>
      <c r="ER653" s="1398">
        <f t="shared" si="27"/>
        <v>111.55555555555554</v>
      </c>
      <c r="ES653" s="1398"/>
      <c r="ET653" s="1398"/>
      <c r="EU653" s="1398"/>
      <c r="EV653" s="1398"/>
      <c r="EW653" s="1398" t="e">
        <f t="shared" si="28"/>
        <v>#VALUE!</v>
      </c>
      <c r="EX653" s="1398"/>
      <c r="EY653" s="1398"/>
      <c r="EZ653" s="1398"/>
      <c r="FA653" s="1398"/>
    </row>
    <row r="654" spans="1:157" ht="12.9" customHeight="1">
      <c r="A654" s="22"/>
      <c r="B654" t="s">
        <v>17</v>
      </c>
      <c r="G654" s="1376" t="s">
        <v>2661</v>
      </c>
      <c r="H654" s="1376"/>
      <c r="I654" s="1376"/>
      <c r="J654" s="1376"/>
      <c r="K654" s="1376"/>
      <c r="L654" s="1376"/>
      <c r="M654" s="1376"/>
      <c r="N654" s="1376"/>
      <c r="O654" s="1376"/>
      <c r="P654" s="1376"/>
      <c r="Q654" s="1376"/>
      <c r="R654" s="1376"/>
      <c r="T654" s="22"/>
      <c r="U654" t="s">
        <v>17</v>
      </c>
      <c r="Z654" s="1376" t="s">
        <v>2667</v>
      </c>
      <c r="AA654" s="1376"/>
      <c r="AB654" s="1376"/>
      <c r="AC654" s="1376"/>
      <c r="AD654" s="1376"/>
      <c r="AE654" s="1376"/>
      <c r="AF654" s="1376"/>
      <c r="AG654" s="1376"/>
      <c r="AH654" s="1376"/>
      <c r="AI654" s="1376"/>
      <c r="AJ654" s="1376"/>
      <c r="AK654" s="1376"/>
      <c r="AZ654" s="34"/>
      <c r="BA654" s="34"/>
      <c r="BB654" s="34"/>
      <c r="BC654" s="34"/>
      <c r="BD654" s="34"/>
      <c r="BE654" s="34"/>
      <c r="BF654" s="34"/>
      <c r="BG654" s="34"/>
      <c r="BH654" s="34"/>
      <c r="BI654" s="34"/>
      <c r="BJ654" s="34"/>
      <c r="BK654" s="34"/>
      <c r="BL654" s="34"/>
      <c r="BM654" s="34"/>
      <c r="BN654" s="1401">
        <f t="shared" si="30"/>
        <v>0</v>
      </c>
      <c r="BO654" s="1402"/>
      <c r="BP654" s="1402"/>
      <c r="BQ654" s="1402"/>
      <c r="BR654" s="1403"/>
      <c r="BS654" s="1406">
        <f t="shared" si="31"/>
        <v>0</v>
      </c>
      <c r="BT654" s="1406"/>
      <c r="BU654" s="1406"/>
      <c r="BV654" s="1406"/>
      <c r="BW654" s="1406"/>
      <c r="BX654" s="1406">
        <f t="shared" si="32"/>
        <v>0</v>
      </c>
      <c r="BY654" s="1406"/>
      <c r="BZ654" s="1406"/>
      <c r="CA654" s="1406"/>
      <c r="CB654" s="1406"/>
      <c r="CC654" s="1406">
        <f t="shared" si="33"/>
        <v>0</v>
      </c>
      <c r="CD654" s="1406"/>
      <c r="CE654" s="1406"/>
      <c r="CF654" s="1406"/>
      <c r="CG654" s="1406"/>
      <c r="CH654" s="1406">
        <f t="shared" si="34"/>
        <v>0</v>
      </c>
      <c r="CI654" s="1406"/>
      <c r="CJ654" s="1406"/>
      <c r="CK654" s="1406"/>
      <c r="CL654" s="1406"/>
      <c r="CM654" s="1406">
        <f t="shared" si="35"/>
        <v>0</v>
      </c>
      <c r="CN654" s="1406"/>
      <c r="CO654" s="1406"/>
      <c r="CP654" s="1406"/>
      <c r="CQ654" s="1406"/>
      <c r="CR654" s="6"/>
      <c r="CS654" s="1401">
        <f t="shared" si="36"/>
        <v>0</v>
      </c>
      <c r="CT654" s="1402"/>
      <c r="CU654" s="1402"/>
      <c r="CV654" s="1402"/>
      <c r="CW654" s="1403"/>
      <c r="CX654" s="1401">
        <f t="shared" si="37"/>
        <v>0</v>
      </c>
      <c r="CY654" s="1402"/>
      <c r="CZ654" s="1402"/>
      <c r="DA654" s="1402"/>
      <c r="DB654" s="1403"/>
      <c r="DC654" s="1401">
        <f t="shared" si="38"/>
        <v>0</v>
      </c>
      <c r="DD654" s="1402"/>
      <c r="DE654" s="1402"/>
      <c r="DF654" s="1402"/>
      <c r="DG654" s="1403"/>
      <c r="DH654" s="1401">
        <f t="shared" si="39"/>
        <v>0</v>
      </c>
      <c r="DI654" s="1402"/>
      <c r="DJ654" s="1402"/>
      <c r="DK654" s="1402"/>
      <c r="DL654" s="1403"/>
      <c r="DM654" s="1401">
        <f t="shared" si="40"/>
        <v>0</v>
      </c>
      <c r="DN654" s="1402"/>
      <c r="DO654" s="1402"/>
      <c r="DP654" s="1402"/>
      <c r="DQ654" s="1403"/>
      <c r="DR654" s="1401">
        <f t="shared" si="41"/>
        <v>0</v>
      </c>
      <c r="DS654" s="1402"/>
      <c r="DT654" s="1402"/>
      <c r="DU654" s="1402"/>
      <c r="DV654" s="1403"/>
      <c r="DX654" s="1398" t="e">
        <f t="shared" si="29"/>
        <v>#VALUE!</v>
      </c>
      <c r="DY654" s="1398"/>
      <c r="DZ654" s="1398"/>
      <c r="EA654" s="1398"/>
      <c r="EB654" s="1398"/>
      <c r="EC654" s="1398" t="e">
        <f t="shared" si="24"/>
        <v>#VALUE!</v>
      </c>
      <c r="ED654" s="1398"/>
      <c r="EE654" s="1398"/>
      <c r="EF654" s="1398"/>
      <c r="EG654" s="1398"/>
      <c r="EH654" s="1398" t="e">
        <f t="shared" si="25"/>
        <v>#VALUE!</v>
      </c>
      <c r="EI654" s="1398"/>
      <c r="EJ654" s="1398"/>
      <c r="EK654" s="1398"/>
      <c r="EL654" s="1398"/>
      <c r="EM654" s="1398" t="e">
        <f t="shared" si="26"/>
        <v>#VALUE!</v>
      </c>
      <c r="EN654" s="1398"/>
      <c r="EO654" s="1398"/>
      <c r="EP654" s="1398"/>
      <c r="EQ654" s="1398"/>
      <c r="ER654" s="1398">
        <f t="shared" si="27"/>
        <v>154.44444444444443</v>
      </c>
      <c r="ES654" s="1398"/>
      <c r="ET654" s="1398"/>
      <c r="EU654" s="1398"/>
      <c r="EV654" s="1398"/>
      <c r="EW654" s="1398" t="e">
        <f t="shared" si="28"/>
        <v>#VALUE!</v>
      </c>
      <c r="EX654" s="1398"/>
      <c r="EY654" s="1398"/>
      <c r="EZ654" s="1398"/>
      <c r="FA654" s="1398"/>
    </row>
    <row r="655" spans="1:157" ht="12.9" customHeight="1">
      <c r="A655" s="22"/>
      <c r="B655" t="s">
        <v>317</v>
      </c>
      <c r="G655" s="1396" t="s">
        <v>2755</v>
      </c>
      <c r="H655" s="1396"/>
      <c r="I655" s="1396"/>
      <c r="J655" s="1396"/>
      <c r="K655" s="1396"/>
      <c r="L655" s="1396"/>
      <c r="O655" s="33" t="s">
        <v>207</v>
      </c>
      <c r="P655" s="1377"/>
      <c r="Q655" s="1377"/>
      <c r="R655" s="1377"/>
      <c r="T655" s="22"/>
      <c r="U655" t="s">
        <v>317</v>
      </c>
      <c r="Z655" s="1396" t="s">
        <v>2668</v>
      </c>
      <c r="AA655" s="1396"/>
      <c r="AB655" s="1396"/>
      <c r="AC655" s="1396"/>
      <c r="AD655" s="1396"/>
      <c r="AE655" s="1396"/>
      <c r="AH655" s="33" t="s">
        <v>207</v>
      </c>
      <c r="AI655" s="1377"/>
      <c r="AJ655" s="1377"/>
      <c r="AK655" s="1377"/>
      <c r="AZ655" s="34"/>
      <c r="BA655" s="34"/>
      <c r="BB655" s="34"/>
      <c r="BC655" s="34"/>
      <c r="BD655" s="34"/>
      <c r="BE655" s="34"/>
      <c r="BF655" s="34"/>
      <c r="BG655" s="34"/>
      <c r="BH655" s="34"/>
      <c r="BI655" s="34"/>
      <c r="BJ655" s="34"/>
      <c r="BK655" s="34"/>
      <c r="BL655" s="34"/>
      <c r="BM655" s="34"/>
      <c r="BN655" s="1404">
        <f>SUM(BN645:BR654)</f>
        <v>0</v>
      </c>
      <c r="BO655" s="1500"/>
      <c r="BP655" s="1500"/>
      <c r="BQ655" s="1500"/>
      <c r="BR655" s="1405"/>
      <c r="BS655" s="1358">
        <f>SUM(BS645:BW654)</f>
        <v>0</v>
      </c>
      <c r="BT655" s="1359"/>
      <c r="BU655" s="1359"/>
      <c r="BV655" s="1359"/>
      <c r="BW655" s="1360"/>
      <c r="BX655" s="1358">
        <f>SUM(BX645:CB654)</f>
        <v>0</v>
      </c>
      <c r="BY655" s="1359"/>
      <c r="BZ655" s="1359"/>
      <c r="CA655" s="1359"/>
      <c r="CB655" s="1360"/>
      <c r="CC655" s="1358">
        <f>SUM(CC645:CG654)</f>
        <v>0</v>
      </c>
      <c r="CD655" s="1359"/>
      <c r="CE655" s="1359"/>
      <c r="CF655" s="1359"/>
      <c r="CG655" s="1360"/>
      <c r="CH655" s="1358">
        <f>SUM(CH645:CL654)</f>
        <v>0</v>
      </c>
      <c r="CI655" s="1359"/>
      <c r="CJ655" s="1359"/>
      <c r="CK655" s="1359"/>
      <c r="CL655" s="1360"/>
      <c r="CM655" s="1358">
        <f>SUM(CM645:CQ654)</f>
        <v>0</v>
      </c>
      <c r="CN655" s="1359"/>
      <c r="CO655" s="1359"/>
      <c r="CP655" s="1359"/>
      <c r="CQ655" s="1360"/>
      <c r="CR655" s="1047"/>
      <c r="CS655" s="1608">
        <f>SUM(CS645:CW654)</f>
        <v>0</v>
      </c>
      <c r="CT655" s="1608"/>
      <c r="CU655" s="1608"/>
      <c r="CV655" s="1608"/>
      <c r="CW655" s="1608"/>
      <c r="CX655" s="1608">
        <f>SUM(CX645:DB654)</f>
        <v>0</v>
      </c>
      <c r="CY655" s="1608"/>
      <c r="CZ655" s="1608"/>
      <c r="DA655" s="1608"/>
      <c r="DB655" s="1608"/>
      <c r="DC655" s="1608">
        <f>SUM(DC645:DG654)</f>
        <v>0</v>
      </c>
      <c r="DD655" s="1608"/>
      <c r="DE655" s="1608"/>
      <c r="DF655" s="1608"/>
      <c r="DG655" s="1608"/>
      <c r="DH655" s="1608">
        <f>SUM(DH645:DL654)</f>
        <v>0</v>
      </c>
      <c r="DI655" s="1608"/>
      <c r="DJ655" s="1608"/>
      <c r="DK655" s="1608"/>
      <c r="DL655" s="1608"/>
      <c r="DM655" s="1608">
        <f>SUM(DM645:DQ654)</f>
        <v>0</v>
      </c>
      <c r="DN655" s="1608"/>
      <c r="DO655" s="1608"/>
      <c r="DP655" s="1608"/>
      <c r="DQ655" s="1608"/>
      <c r="DR655" s="1608">
        <f>SUM(DR645:DV654)</f>
        <v>0</v>
      </c>
      <c r="DS655" s="1608"/>
      <c r="DT655" s="1608"/>
      <c r="DU655" s="1608"/>
      <c r="DV655" s="1608"/>
      <c r="DX655" s="1398" t="e">
        <f t="shared" si="29"/>
        <v>#VALUE!</v>
      </c>
      <c r="DY655" s="1398"/>
      <c r="DZ655" s="1398"/>
      <c r="EA655" s="1398"/>
      <c r="EB655" s="1398"/>
      <c r="EC655" s="1398" t="e">
        <f t="shared" si="24"/>
        <v>#VALUE!</v>
      </c>
      <c r="ED655" s="1398"/>
      <c r="EE655" s="1398"/>
      <c r="EF655" s="1398"/>
      <c r="EG655" s="1398"/>
      <c r="EH655" s="1398" t="e">
        <f t="shared" si="25"/>
        <v>#VALUE!</v>
      </c>
      <c r="EI655" s="1398"/>
      <c r="EJ655" s="1398"/>
      <c r="EK655" s="1398"/>
      <c r="EL655" s="1398"/>
      <c r="EM655" s="1398" t="e">
        <f t="shared" si="26"/>
        <v>#VALUE!</v>
      </c>
      <c r="EN655" s="1398"/>
      <c r="EO655" s="1398"/>
      <c r="EP655" s="1398"/>
      <c r="EQ655" s="1398"/>
      <c r="ER655" s="1398">
        <f t="shared" si="27"/>
        <v>197.2222222222222</v>
      </c>
      <c r="ES655" s="1398"/>
      <c r="ET655" s="1398"/>
      <c r="EU655" s="1398"/>
      <c r="EV655" s="1398"/>
      <c r="EW655" s="1398" t="e">
        <f t="shared" si="28"/>
        <v>#VALUE!</v>
      </c>
      <c r="EX655" s="1398"/>
      <c r="EY655" s="1398"/>
      <c r="EZ655" s="1398"/>
      <c r="FA655" s="1398"/>
    </row>
    <row r="656" spans="1:157" ht="12.9" customHeight="1">
      <c r="A656" s="22"/>
      <c r="B656" t="s">
        <v>18</v>
      </c>
      <c r="H656" s="1364" t="s">
        <v>2756</v>
      </c>
      <c r="I656" s="1364"/>
      <c r="J656" s="1364"/>
      <c r="K656" s="1364"/>
      <c r="L656" s="1364"/>
      <c r="M656" s="1364"/>
      <c r="N656" s="1364"/>
      <c r="O656" s="1364"/>
      <c r="P656" s="1364" t="s">
        <v>207</v>
      </c>
      <c r="Q656" s="1364"/>
      <c r="R656" s="1364"/>
      <c r="T656" s="22"/>
      <c r="U656" t="s">
        <v>18</v>
      </c>
      <c r="AA656" s="1364" t="s">
        <v>2771</v>
      </c>
      <c r="AB656" s="1364"/>
      <c r="AC656" s="1364"/>
      <c r="AD656" s="1364"/>
      <c r="AE656" s="1364"/>
      <c r="AF656" s="1364"/>
      <c r="AG656" s="1364"/>
      <c r="AH656" s="1364"/>
      <c r="AI656" s="1364"/>
      <c r="AJ656" s="1364"/>
      <c r="AK656" s="136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98" t="e">
        <f t="shared" si="29"/>
        <v>#VALUE!</v>
      </c>
      <c r="DY656" s="1398"/>
      <c r="DZ656" s="1398"/>
      <c r="EA656" s="1398"/>
      <c r="EB656" s="1398"/>
      <c r="EC656" s="1398" t="e">
        <f t="shared" si="24"/>
        <v>#VALUE!</v>
      </c>
      <c r="ED656" s="1398"/>
      <c r="EE656" s="1398"/>
      <c r="EF656" s="1398"/>
      <c r="EG656" s="1398"/>
      <c r="EH656" s="1398" t="e">
        <f t="shared" si="25"/>
        <v>#VALUE!</v>
      </c>
      <c r="EI656" s="1398"/>
      <c r="EJ656" s="1398"/>
      <c r="EK656" s="1398"/>
      <c r="EL656" s="1398"/>
      <c r="EM656" s="1398" t="e">
        <f t="shared" si="26"/>
        <v>#VALUE!</v>
      </c>
      <c r="EN656" s="1398"/>
      <c r="EO656" s="1398"/>
      <c r="EP656" s="1398"/>
      <c r="EQ656" s="1398"/>
      <c r="ER656" s="1398">
        <f t="shared" si="27"/>
        <v>240</v>
      </c>
      <c r="ES656" s="1398"/>
      <c r="ET656" s="1398"/>
      <c r="EU656" s="1398"/>
      <c r="EV656" s="1398"/>
      <c r="EW656" s="1398" t="e">
        <f t="shared" si="28"/>
        <v>#VALUE!</v>
      </c>
      <c r="EX656" s="1398"/>
      <c r="EY656" s="1398"/>
      <c r="EZ656" s="1398"/>
      <c r="FA656" s="1398"/>
    </row>
    <row r="657" spans="1:157" ht="12.9" customHeight="1">
      <c r="A657" s="22"/>
      <c r="B657" t="s">
        <v>20</v>
      </c>
      <c r="N657" s="1374" t="s">
        <v>553</v>
      </c>
      <c r="O657" s="1374"/>
      <c r="T657" s="22"/>
      <c r="U657" t="s">
        <v>20</v>
      </c>
      <c r="AG657" s="1374" t="s">
        <v>553</v>
      </c>
      <c r="AH657" s="1374"/>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398">
        <f>SUM(CS655:DV655)</f>
        <v>0</v>
      </c>
      <c r="DS657" s="1398"/>
      <c r="DT657" s="1398"/>
      <c r="DU657" s="1398"/>
      <c r="DV657" s="1398"/>
      <c r="DX657" s="1398" t="e">
        <f t="shared" si="29"/>
        <v>#VALUE!</v>
      </c>
      <c r="DY657" s="1398"/>
      <c r="DZ657" s="1398"/>
      <c r="EA657" s="1398"/>
      <c r="EB657" s="1398"/>
      <c r="EC657" s="1398" t="e">
        <f t="shared" si="24"/>
        <v>#VALUE!</v>
      </c>
      <c r="ED657" s="1398"/>
      <c r="EE657" s="1398"/>
      <c r="EF657" s="1398"/>
      <c r="EG657" s="1398"/>
      <c r="EH657" s="1398" t="e">
        <f t="shared" si="25"/>
        <v>#VALUE!</v>
      </c>
      <c r="EI657" s="1398"/>
      <c r="EJ657" s="1398"/>
      <c r="EK657" s="1398"/>
      <c r="EL657" s="1398"/>
      <c r="EM657" s="1398" t="e">
        <f t="shared" si="26"/>
        <v>#VALUE!</v>
      </c>
      <c r="EN657" s="1398"/>
      <c r="EO657" s="1398"/>
      <c r="EP657" s="1398"/>
      <c r="EQ657" s="1398"/>
      <c r="ER657" s="1398">
        <f t="shared" si="27"/>
        <v>1413.8888888888889</v>
      </c>
      <c r="ES657" s="1398"/>
      <c r="ET657" s="1398"/>
      <c r="EU657" s="1398"/>
      <c r="EV657" s="1398"/>
      <c r="EW657" s="1398" t="e">
        <f t="shared" si="28"/>
        <v>#VALUE!</v>
      </c>
      <c r="EX657" s="1398"/>
      <c r="EY657" s="1398"/>
      <c r="EZ657" s="1398"/>
      <c r="FA657" s="1398"/>
    </row>
    <row r="658" spans="1:157" ht="12.9"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98" t="e">
        <f t="shared" ref="DX658:DX667" si="42">DX620*(BN620/$BN$632)</f>
        <v>#VALUE!</v>
      </c>
      <c r="DY658" s="1398"/>
      <c r="DZ658" s="1398"/>
      <c r="EA658" s="1398"/>
      <c r="EB658" s="1398"/>
      <c r="EC658" s="1398" t="e">
        <f t="shared" ref="EC658:EC667" si="43">EC620*(BS620/$BS$632)</f>
        <v>#VALUE!</v>
      </c>
      <c r="ED658" s="1398"/>
      <c r="EE658" s="1398"/>
      <c r="EF658" s="1398"/>
      <c r="EG658" s="1398"/>
      <c r="EH658" s="1398" t="e">
        <f t="shared" ref="EH658:EH667" si="44">EH620*(BX620/$BX$632)</f>
        <v>#VALUE!</v>
      </c>
      <c r="EI658" s="1398"/>
      <c r="EJ658" s="1398"/>
      <c r="EK658" s="1398"/>
      <c r="EL658" s="1398"/>
      <c r="EM658" s="1398" t="e">
        <f t="shared" ref="EM658:EM667" si="45">EM620*(CC620/$CC$632)</f>
        <v>#VALUE!</v>
      </c>
      <c r="EN658" s="1398"/>
      <c r="EO658" s="1398"/>
      <c r="EP658" s="1398"/>
      <c r="EQ658" s="1398"/>
      <c r="ER658" s="1398" t="e">
        <f t="shared" ref="ER658:ER667" si="46">ER620*(CH620/$CH$632)</f>
        <v>#VALUE!</v>
      </c>
      <c r="ES658" s="1398"/>
      <c r="ET658" s="1398"/>
      <c r="EU658" s="1398"/>
      <c r="EV658" s="1398"/>
      <c r="EW658" s="1398" t="e">
        <f t="shared" ref="EW658:EW667" si="47">EW620*(CM620/$CM$632)</f>
        <v>#VALUE!</v>
      </c>
      <c r="EX658" s="1398"/>
      <c r="EY658" s="1398"/>
      <c r="EZ658" s="1398"/>
      <c r="FA658" s="1398"/>
    </row>
    <row r="659" spans="1:157" ht="12.9" customHeight="1">
      <c r="A659" s="55" t="s">
        <v>772</v>
      </c>
      <c r="B659" t="s">
        <v>471</v>
      </c>
      <c r="G659" s="1375" t="str">
        <f>C631</f>
        <v>Seller Land Note</v>
      </c>
      <c r="H659" s="1375"/>
      <c r="I659" s="1375"/>
      <c r="J659" s="1375"/>
      <c r="K659" s="1375"/>
      <c r="L659" s="1375"/>
      <c r="M659" s="1375"/>
      <c r="N659" s="1375"/>
      <c r="O659" s="1375"/>
      <c r="P659" s="1375"/>
      <c r="Q659" s="1375"/>
      <c r="R659" s="1375"/>
      <c r="T659" s="55" t="s">
        <v>592</v>
      </c>
      <c r="U659" t="s">
        <v>471</v>
      </c>
      <c r="Z659" s="1375">
        <f>C632</f>
        <v>0</v>
      </c>
      <c r="AA659" s="1375"/>
      <c r="AB659" s="1375"/>
      <c r="AC659" s="1375"/>
      <c r="AD659" s="1375"/>
      <c r="AE659" s="1375"/>
      <c r="AF659" s="1375"/>
      <c r="AG659" s="1375"/>
      <c r="AH659" s="1375"/>
      <c r="AI659" s="1375"/>
      <c r="AJ659" s="1375"/>
      <c r="AK659" s="137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98" t="e">
        <f t="shared" si="42"/>
        <v>#VALUE!</v>
      </c>
      <c r="DY659" s="1398"/>
      <c r="DZ659" s="1398"/>
      <c r="EA659" s="1398"/>
      <c r="EB659" s="1398"/>
      <c r="EC659" s="1398" t="e">
        <f t="shared" si="43"/>
        <v>#VALUE!</v>
      </c>
      <c r="ED659" s="1398"/>
      <c r="EE659" s="1398"/>
      <c r="EF659" s="1398"/>
      <c r="EG659" s="1398"/>
      <c r="EH659" s="1398" t="e">
        <f t="shared" si="44"/>
        <v>#VALUE!</v>
      </c>
      <c r="EI659" s="1398"/>
      <c r="EJ659" s="1398"/>
      <c r="EK659" s="1398"/>
      <c r="EL659" s="1398"/>
      <c r="EM659" s="1398" t="e">
        <f t="shared" si="45"/>
        <v>#VALUE!</v>
      </c>
      <c r="EN659" s="1398"/>
      <c r="EO659" s="1398"/>
      <c r="EP659" s="1398"/>
      <c r="EQ659" s="1398"/>
      <c r="ER659" s="1398" t="e">
        <f t="shared" si="46"/>
        <v>#VALUE!</v>
      </c>
      <c r="ES659" s="1398"/>
      <c r="ET659" s="1398"/>
      <c r="EU659" s="1398"/>
      <c r="EV659" s="1398"/>
      <c r="EW659" s="1398" t="e">
        <f t="shared" si="47"/>
        <v>#VALUE!</v>
      </c>
      <c r="EX659" s="1398"/>
      <c r="EY659" s="1398"/>
      <c r="EZ659" s="1398"/>
      <c r="FA659" s="1398"/>
    </row>
    <row r="660" spans="1:157" ht="12.9" customHeight="1">
      <c r="A660" s="22"/>
      <c r="B660" t="s">
        <v>85</v>
      </c>
      <c r="G660" s="1364" t="s">
        <v>2679</v>
      </c>
      <c r="H660" s="1364"/>
      <c r="I660" s="1364"/>
      <c r="J660" s="1364"/>
      <c r="K660" s="1364"/>
      <c r="L660" s="1364"/>
      <c r="M660" s="1364"/>
      <c r="N660" s="1364"/>
      <c r="O660" s="1364"/>
      <c r="P660" s="1364"/>
      <c r="Q660" s="1364"/>
      <c r="R660" s="1364"/>
      <c r="T660" s="22"/>
      <c r="U660" t="s">
        <v>85</v>
      </c>
      <c r="Z660" s="1364"/>
      <c r="AA660" s="1364"/>
      <c r="AB660" s="1364"/>
      <c r="AC660" s="1364"/>
      <c r="AD660" s="1364"/>
      <c r="AE660" s="1364"/>
      <c r="AF660" s="1364"/>
      <c r="AG660" s="1364"/>
      <c r="AH660" s="1364"/>
      <c r="AI660" s="1364"/>
      <c r="AJ660" s="1364"/>
      <c r="AK660" s="1364"/>
      <c r="AZ660" s="34"/>
      <c r="BA660" s="34"/>
      <c r="BB660" s="34"/>
      <c r="BC660" s="34"/>
      <c r="BD660" s="34"/>
      <c r="BE660" s="34"/>
      <c r="BF660" s="34"/>
      <c r="BG660" s="34"/>
      <c r="BH660" s="34"/>
      <c r="BI660" s="34"/>
      <c r="BJ660" s="34"/>
      <c r="BK660" s="34"/>
      <c r="BL660" s="34"/>
      <c r="BM660" s="34"/>
      <c r="BN660" s="1358">
        <f>BN632+BN641+BN655</f>
        <v>0</v>
      </c>
      <c r="BO660" s="1359"/>
      <c r="BP660" s="1359"/>
      <c r="BQ660" s="1359"/>
      <c r="BR660" s="1360"/>
      <c r="BS660" s="1358">
        <f>BS632+BS641+BS655</f>
        <v>60</v>
      </c>
      <c r="BT660" s="1359"/>
      <c r="BU660" s="1359"/>
      <c r="BV660" s="1359"/>
      <c r="BW660" s="1360"/>
      <c r="BX660" s="1358">
        <f>BX632+BX641+BX655</f>
        <v>32</v>
      </c>
      <c r="BY660" s="1359"/>
      <c r="BZ660" s="1359"/>
      <c r="CA660" s="1359"/>
      <c r="CB660" s="1360"/>
      <c r="CC660" s="1358">
        <f>CC632+CC641+CC655</f>
        <v>56</v>
      </c>
      <c r="CD660" s="1359"/>
      <c r="CE660" s="1359"/>
      <c r="CF660" s="1359"/>
      <c r="CG660" s="1360"/>
      <c r="CH660" s="1358">
        <f>CH632+CH641+CH655</f>
        <v>18</v>
      </c>
      <c r="CI660" s="1359"/>
      <c r="CJ660" s="1359"/>
      <c r="CK660" s="1359"/>
      <c r="CL660" s="1360"/>
      <c r="CM660" s="1361">
        <f>CM655+CM641+CM632</f>
        <v>0</v>
      </c>
      <c r="CN660" s="1362"/>
      <c r="CO660" s="1362"/>
      <c r="CP660" s="1362"/>
      <c r="CQ660" s="1363"/>
      <c r="CR660" s="3"/>
      <c r="CS660" s="895">
        <f>CS634+CS658</f>
        <v>359</v>
      </c>
      <c r="CT660" s="57" t="s">
        <v>2052</v>
      </c>
      <c r="CU660" s="3"/>
      <c r="CV660" s="3"/>
      <c r="CW660" s="3"/>
      <c r="CX660" s="3"/>
      <c r="CY660" s="3"/>
      <c r="CZ660" s="3"/>
      <c r="DA660" s="3"/>
      <c r="DB660" s="3"/>
      <c r="DC660" s="3"/>
      <c r="DD660" s="3"/>
      <c r="DE660" s="3"/>
      <c r="DF660" s="3"/>
      <c r="DX660" s="1398" t="e">
        <f t="shared" si="42"/>
        <v>#VALUE!</v>
      </c>
      <c r="DY660" s="1398"/>
      <c r="DZ660" s="1398"/>
      <c r="EA660" s="1398"/>
      <c r="EB660" s="1398"/>
      <c r="EC660" s="1398" t="e">
        <f t="shared" si="43"/>
        <v>#VALUE!</v>
      </c>
      <c r="ED660" s="1398"/>
      <c r="EE660" s="1398"/>
      <c r="EF660" s="1398"/>
      <c r="EG660" s="1398"/>
      <c r="EH660" s="1398" t="e">
        <f t="shared" si="44"/>
        <v>#VALUE!</v>
      </c>
      <c r="EI660" s="1398"/>
      <c r="EJ660" s="1398"/>
      <c r="EK660" s="1398"/>
      <c r="EL660" s="1398"/>
      <c r="EM660" s="1398" t="e">
        <f t="shared" si="45"/>
        <v>#VALUE!</v>
      </c>
      <c r="EN660" s="1398"/>
      <c r="EO660" s="1398"/>
      <c r="EP660" s="1398"/>
      <c r="EQ660" s="1398"/>
      <c r="ER660" s="1398" t="e">
        <f t="shared" si="46"/>
        <v>#VALUE!</v>
      </c>
      <c r="ES660" s="1398"/>
      <c r="ET660" s="1398"/>
      <c r="EU660" s="1398"/>
      <c r="EV660" s="1398"/>
      <c r="EW660" s="1398" t="e">
        <f t="shared" si="47"/>
        <v>#VALUE!</v>
      </c>
      <c r="EX660" s="1398"/>
      <c r="EY660" s="1398"/>
      <c r="EZ660" s="1398"/>
      <c r="FA660" s="1398"/>
    </row>
    <row r="661" spans="1:157" ht="12.9" customHeight="1">
      <c r="A661" s="22"/>
      <c r="B661" t="s">
        <v>588</v>
      </c>
      <c r="G661" s="1364" t="s">
        <v>2680</v>
      </c>
      <c r="H661" s="1364"/>
      <c r="I661" s="1364"/>
      <c r="J661" s="1364"/>
      <c r="K661" s="1364"/>
      <c r="L661" s="1364"/>
      <c r="M661" s="1364"/>
      <c r="N661" s="1364"/>
      <c r="O661" s="1364"/>
      <c r="P661" s="1364"/>
      <c r="Q661" s="1364"/>
      <c r="R661" s="1364"/>
      <c r="T661" s="22"/>
      <c r="U661" t="s">
        <v>588</v>
      </c>
      <c r="Z661" s="1376"/>
      <c r="AA661" s="1376"/>
      <c r="AB661" s="1376"/>
      <c r="AC661" s="1376"/>
      <c r="AD661" s="1376"/>
      <c r="AE661" s="1376"/>
      <c r="AF661" s="1376"/>
      <c r="AG661" s="1376"/>
      <c r="AH661" s="1376"/>
      <c r="AI661" s="1376"/>
      <c r="AJ661" s="1376"/>
      <c r="AK661" s="137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98" t="e">
        <f t="shared" si="42"/>
        <v>#VALUE!</v>
      </c>
      <c r="DY661" s="1398"/>
      <c r="DZ661" s="1398"/>
      <c r="EA661" s="1398"/>
      <c r="EB661" s="1398"/>
      <c r="EC661" s="1398" t="e">
        <f t="shared" si="43"/>
        <v>#VALUE!</v>
      </c>
      <c r="ED661" s="1398"/>
      <c r="EE661" s="1398"/>
      <c r="EF661" s="1398"/>
      <c r="EG661" s="1398"/>
      <c r="EH661" s="1398" t="e">
        <f t="shared" si="44"/>
        <v>#VALUE!</v>
      </c>
      <c r="EI661" s="1398"/>
      <c r="EJ661" s="1398"/>
      <c r="EK661" s="1398"/>
      <c r="EL661" s="1398"/>
      <c r="EM661" s="1398" t="e">
        <f t="shared" si="45"/>
        <v>#VALUE!</v>
      </c>
      <c r="EN661" s="1398"/>
      <c r="EO661" s="1398"/>
      <c r="EP661" s="1398"/>
      <c r="EQ661" s="1398"/>
      <c r="ER661" s="1398" t="e">
        <f t="shared" si="46"/>
        <v>#VALUE!</v>
      </c>
      <c r="ES661" s="1398"/>
      <c r="ET661" s="1398"/>
      <c r="EU661" s="1398"/>
      <c r="EV661" s="1398"/>
      <c r="EW661" s="1398" t="e">
        <f t="shared" si="47"/>
        <v>#VALUE!</v>
      </c>
      <c r="EX661" s="1398"/>
      <c r="EY661" s="1398"/>
      <c r="EZ661" s="1398"/>
      <c r="FA661" s="1398"/>
    </row>
    <row r="662" spans="1:157" ht="12.9" customHeight="1">
      <c r="A662" s="22"/>
      <c r="B662" t="s">
        <v>17</v>
      </c>
      <c r="G662" s="1364" t="s">
        <v>2667</v>
      </c>
      <c r="H662" s="1364"/>
      <c r="I662" s="1364"/>
      <c r="J662" s="1364"/>
      <c r="K662" s="1364"/>
      <c r="L662" s="1364"/>
      <c r="M662" s="1364"/>
      <c r="N662" s="1364"/>
      <c r="O662" s="1364"/>
      <c r="P662" s="1364"/>
      <c r="Q662" s="1364"/>
      <c r="R662" s="1364"/>
      <c r="T662" s="22"/>
      <c r="U662" t="s">
        <v>17</v>
      </c>
      <c r="Z662" s="1376"/>
      <c r="AA662" s="1376"/>
      <c r="AB662" s="1376"/>
      <c r="AC662" s="1376"/>
      <c r="AD662" s="1376"/>
      <c r="AE662" s="1376"/>
      <c r="AF662" s="1376"/>
      <c r="AG662" s="1376"/>
      <c r="AH662" s="1376"/>
      <c r="AI662" s="1376"/>
      <c r="AJ662" s="1376"/>
      <c r="AK662" s="137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98" t="e">
        <f t="shared" si="42"/>
        <v>#VALUE!</v>
      </c>
      <c r="DY662" s="1398"/>
      <c r="DZ662" s="1398"/>
      <c r="EA662" s="1398"/>
      <c r="EB662" s="1398"/>
      <c r="EC662" s="1398" t="e">
        <f t="shared" si="43"/>
        <v>#VALUE!</v>
      </c>
      <c r="ED662" s="1398"/>
      <c r="EE662" s="1398"/>
      <c r="EF662" s="1398"/>
      <c r="EG662" s="1398"/>
      <c r="EH662" s="1398" t="e">
        <f t="shared" si="44"/>
        <v>#VALUE!</v>
      </c>
      <c r="EI662" s="1398"/>
      <c r="EJ662" s="1398"/>
      <c r="EK662" s="1398"/>
      <c r="EL662" s="1398"/>
      <c r="EM662" s="1398" t="e">
        <f t="shared" si="45"/>
        <v>#VALUE!</v>
      </c>
      <c r="EN662" s="1398"/>
      <c r="EO662" s="1398"/>
      <c r="EP662" s="1398"/>
      <c r="EQ662" s="1398"/>
      <c r="ER662" s="1398" t="e">
        <f t="shared" si="46"/>
        <v>#VALUE!</v>
      </c>
      <c r="ES662" s="1398"/>
      <c r="ET662" s="1398"/>
      <c r="EU662" s="1398"/>
      <c r="EV662" s="1398"/>
      <c r="EW662" s="1398" t="e">
        <f t="shared" si="47"/>
        <v>#VALUE!</v>
      </c>
      <c r="EX662" s="1398"/>
      <c r="EY662" s="1398"/>
      <c r="EZ662" s="1398"/>
      <c r="FA662" s="1398"/>
    </row>
    <row r="663" spans="1:157" ht="12.9" customHeight="1">
      <c r="A663" s="22"/>
      <c r="B663" t="s">
        <v>317</v>
      </c>
      <c r="G663" s="1396">
        <v>4157578639</v>
      </c>
      <c r="H663" s="1396"/>
      <c r="I663" s="1396"/>
      <c r="J663" s="1396"/>
      <c r="K663" s="1396"/>
      <c r="L663" s="1396"/>
      <c r="O663" s="33" t="s">
        <v>207</v>
      </c>
      <c r="P663" s="1377"/>
      <c r="Q663" s="1377"/>
      <c r="R663" s="1377"/>
      <c r="T663" s="22"/>
      <c r="U663" t="s">
        <v>317</v>
      </c>
      <c r="Z663" s="1396"/>
      <c r="AA663" s="1396"/>
      <c r="AB663" s="1396"/>
      <c r="AC663" s="1396"/>
      <c r="AD663" s="1396"/>
      <c r="AE663" s="1396"/>
      <c r="AH663" s="33" t="s">
        <v>207</v>
      </c>
      <c r="AI663" s="1377"/>
      <c r="AJ663" s="1377"/>
      <c r="AK663" s="137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98" t="e">
        <f t="shared" si="42"/>
        <v>#VALUE!</v>
      </c>
      <c r="DY663" s="1398"/>
      <c r="DZ663" s="1398"/>
      <c r="EA663" s="1398"/>
      <c r="EB663" s="1398"/>
      <c r="EC663" s="1398" t="e">
        <f t="shared" si="43"/>
        <v>#VALUE!</v>
      </c>
      <c r="ED663" s="1398"/>
      <c r="EE663" s="1398"/>
      <c r="EF663" s="1398"/>
      <c r="EG663" s="1398"/>
      <c r="EH663" s="1398" t="e">
        <f t="shared" si="44"/>
        <v>#VALUE!</v>
      </c>
      <c r="EI663" s="1398"/>
      <c r="EJ663" s="1398"/>
      <c r="EK663" s="1398"/>
      <c r="EL663" s="1398"/>
      <c r="EM663" s="1398" t="e">
        <f t="shared" si="45"/>
        <v>#VALUE!</v>
      </c>
      <c r="EN663" s="1398"/>
      <c r="EO663" s="1398"/>
      <c r="EP663" s="1398"/>
      <c r="EQ663" s="1398"/>
      <c r="ER663" s="1398" t="e">
        <f t="shared" si="46"/>
        <v>#VALUE!</v>
      </c>
      <c r="ES663" s="1398"/>
      <c r="ET663" s="1398"/>
      <c r="EU663" s="1398"/>
      <c r="EV663" s="1398"/>
      <c r="EW663" s="1398" t="e">
        <f t="shared" si="47"/>
        <v>#VALUE!</v>
      </c>
      <c r="EX663" s="1398"/>
      <c r="EY663" s="1398"/>
      <c r="EZ663" s="1398"/>
      <c r="FA663" s="1398"/>
    </row>
    <row r="664" spans="1:157" ht="12.9" customHeight="1">
      <c r="A664" s="22"/>
      <c r="B664" t="s">
        <v>18</v>
      </c>
      <c r="H664" s="1364" t="s">
        <v>2770</v>
      </c>
      <c r="I664" s="1364"/>
      <c r="J664" s="1364"/>
      <c r="K664" s="1364"/>
      <c r="L664" s="1364"/>
      <c r="M664" s="1364"/>
      <c r="N664" s="1364"/>
      <c r="O664" s="1364"/>
      <c r="P664" s="1364"/>
      <c r="Q664" s="1364"/>
      <c r="R664" s="1364"/>
      <c r="T664" s="22"/>
      <c r="U664" t="s">
        <v>18</v>
      </c>
      <c r="AA664" s="1364"/>
      <c r="AB664" s="1364"/>
      <c r="AC664" s="1364"/>
      <c r="AD664" s="1364"/>
      <c r="AE664" s="1364"/>
      <c r="AF664" s="1364"/>
      <c r="AG664" s="1364"/>
      <c r="AH664" s="1364"/>
      <c r="AI664" s="1364"/>
      <c r="AJ664" s="1364"/>
      <c r="AK664" s="136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98" t="e">
        <f t="shared" si="42"/>
        <v>#VALUE!</v>
      </c>
      <c r="DY664" s="1398"/>
      <c r="DZ664" s="1398"/>
      <c r="EA664" s="1398"/>
      <c r="EB664" s="1398"/>
      <c r="EC664" s="1398" t="e">
        <f t="shared" si="43"/>
        <v>#VALUE!</v>
      </c>
      <c r="ED664" s="1398"/>
      <c r="EE664" s="1398"/>
      <c r="EF664" s="1398"/>
      <c r="EG664" s="1398"/>
      <c r="EH664" s="1398" t="e">
        <f t="shared" si="44"/>
        <v>#VALUE!</v>
      </c>
      <c r="EI664" s="1398"/>
      <c r="EJ664" s="1398"/>
      <c r="EK664" s="1398"/>
      <c r="EL664" s="1398"/>
      <c r="EM664" s="1398" t="e">
        <f t="shared" si="45"/>
        <v>#VALUE!</v>
      </c>
      <c r="EN664" s="1398"/>
      <c r="EO664" s="1398"/>
      <c r="EP664" s="1398"/>
      <c r="EQ664" s="1398"/>
      <c r="ER664" s="1398" t="e">
        <f t="shared" si="46"/>
        <v>#VALUE!</v>
      </c>
      <c r="ES664" s="1398"/>
      <c r="ET664" s="1398"/>
      <c r="EU664" s="1398"/>
      <c r="EV664" s="1398"/>
      <c r="EW664" s="1398" t="e">
        <f t="shared" si="47"/>
        <v>#VALUE!</v>
      </c>
      <c r="EX664" s="1398"/>
      <c r="EY664" s="1398"/>
      <c r="EZ664" s="1398"/>
      <c r="FA664" s="1398"/>
    </row>
    <row r="665" spans="1:157" ht="12.9" customHeight="1">
      <c r="A665" s="22"/>
      <c r="B665" t="s">
        <v>20</v>
      </c>
      <c r="N665" s="1374" t="s">
        <v>553</v>
      </c>
      <c r="O665" s="1374"/>
      <c r="T665" s="22"/>
      <c r="U665" t="s">
        <v>20</v>
      </c>
      <c r="AG665" s="1374" t="s">
        <v>677</v>
      </c>
      <c r="AH665" s="137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98" t="e">
        <f t="shared" si="42"/>
        <v>#VALUE!</v>
      </c>
      <c r="DY665" s="1398"/>
      <c r="DZ665" s="1398"/>
      <c r="EA665" s="1398"/>
      <c r="EB665" s="1398"/>
      <c r="EC665" s="1398" t="e">
        <f t="shared" si="43"/>
        <v>#VALUE!</v>
      </c>
      <c r="ED665" s="1398"/>
      <c r="EE665" s="1398"/>
      <c r="EF665" s="1398"/>
      <c r="EG665" s="1398"/>
      <c r="EH665" s="1398" t="e">
        <f t="shared" si="44"/>
        <v>#VALUE!</v>
      </c>
      <c r="EI665" s="1398"/>
      <c r="EJ665" s="1398"/>
      <c r="EK665" s="1398"/>
      <c r="EL665" s="1398"/>
      <c r="EM665" s="1398" t="e">
        <f t="shared" si="45"/>
        <v>#VALUE!</v>
      </c>
      <c r="EN665" s="1398"/>
      <c r="EO665" s="1398"/>
      <c r="EP665" s="1398"/>
      <c r="EQ665" s="1398"/>
      <c r="ER665" s="1398" t="e">
        <f t="shared" si="46"/>
        <v>#VALUE!</v>
      </c>
      <c r="ES665" s="1398"/>
      <c r="ET665" s="1398"/>
      <c r="EU665" s="1398"/>
      <c r="EV665" s="1398"/>
      <c r="EW665" s="1398" t="e">
        <f t="shared" si="47"/>
        <v>#VALUE!</v>
      </c>
      <c r="EX665" s="1398"/>
      <c r="EY665" s="1398"/>
      <c r="EZ665" s="1398"/>
      <c r="FA665" s="1398"/>
    </row>
    <row r="666" spans="1:157" ht="12.9"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98" t="e">
        <f t="shared" si="42"/>
        <v>#VALUE!</v>
      </c>
      <c r="DY666" s="1398"/>
      <c r="DZ666" s="1398"/>
      <c r="EA666" s="1398"/>
      <c r="EB666" s="1398"/>
      <c r="EC666" s="1398" t="e">
        <f t="shared" si="43"/>
        <v>#VALUE!</v>
      </c>
      <c r="ED666" s="1398"/>
      <c r="EE666" s="1398"/>
      <c r="EF666" s="1398"/>
      <c r="EG666" s="1398"/>
      <c r="EH666" s="1398" t="e">
        <f t="shared" si="44"/>
        <v>#VALUE!</v>
      </c>
      <c r="EI666" s="1398"/>
      <c r="EJ666" s="1398"/>
      <c r="EK666" s="1398"/>
      <c r="EL666" s="1398"/>
      <c r="EM666" s="1398" t="e">
        <f t="shared" si="45"/>
        <v>#VALUE!</v>
      </c>
      <c r="EN666" s="1398"/>
      <c r="EO666" s="1398"/>
      <c r="EP666" s="1398"/>
      <c r="EQ666" s="1398"/>
      <c r="ER666" s="1398" t="e">
        <f t="shared" si="46"/>
        <v>#VALUE!</v>
      </c>
      <c r="ES666" s="1398"/>
      <c r="ET666" s="1398"/>
      <c r="EU666" s="1398"/>
      <c r="EV666" s="1398"/>
      <c r="EW666" s="1398" t="e">
        <f t="shared" si="47"/>
        <v>#VALUE!</v>
      </c>
      <c r="EX666" s="1398"/>
      <c r="EY666" s="1398"/>
      <c r="EZ666" s="1398"/>
      <c r="FA666" s="1398"/>
    </row>
    <row r="667" spans="1:157" ht="12.9" customHeight="1">
      <c r="A667" s="55" t="s">
        <v>463</v>
      </c>
      <c r="B667" t="s">
        <v>471</v>
      </c>
      <c r="G667" s="1375">
        <f>C633</f>
        <v>0</v>
      </c>
      <c r="H667" s="1375"/>
      <c r="I667" s="1375"/>
      <c r="J667" s="1375"/>
      <c r="K667" s="1375"/>
      <c r="L667" s="1375"/>
      <c r="M667" s="1375"/>
      <c r="N667" s="1375"/>
      <c r="O667" s="1375"/>
      <c r="P667" s="1375"/>
      <c r="Q667" s="1375"/>
      <c r="R667" s="1375"/>
      <c r="T667" s="55" t="s">
        <v>464</v>
      </c>
      <c r="U667" t="s">
        <v>471</v>
      </c>
      <c r="Z667" s="1375">
        <f>C634</f>
        <v>0</v>
      </c>
      <c r="AA667" s="1375"/>
      <c r="AB667" s="1375"/>
      <c r="AC667" s="1375"/>
      <c r="AD667" s="1375"/>
      <c r="AE667" s="1375"/>
      <c r="AF667" s="1375"/>
      <c r="AG667" s="1375"/>
      <c r="AH667" s="1375"/>
      <c r="AI667" s="1375"/>
      <c r="AJ667" s="1375"/>
      <c r="AK667" s="1375"/>
      <c r="AZ667" s="3"/>
      <c r="BA667" s="118">
        <f t="shared" ref="BA667:BA699" si="48">IF($G718=0,"N/A",VLOOKUP($T$189,TC_Rent,(MATCH($B718,bedrooms,FALSE))))</f>
        <v>2490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98" t="e">
        <f t="shared" si="42"/>
        <v>#VALUE!</v>
      </c>
      <c r="DY667" s="1398"/>
      <c r="DZ667" s="1398"/>
      <c r="EA667" s="1398"/>
      <c r="EB667" s="1398"/>
      <c r="EC667" s="1398" t="e">
        <f t="shared" si="43"/>
        <v>#VALUE!</v>
      </c>
      <c r="ED667" s="1398"/>
      <c r="EE667" s="1398"/>
      <c r="EF667" s="1398"/>
      <c r="EG667" s="1398"/>
      <c r="EH667" s="1398" t="e">
        <f t="shared" si="44"/>
        <v>#VALUE!</v>
      </c>
      <c r="EI667" s="1398"/>
      <c r="EJ667" s="1398"/>
      <c r="EK667" s="1398"/>
      <c r="EL667" s="1398"/>
      <c r="EM667" s="1398" t="e">
        <f t="shared" si="45"/>
        <v>#VALUE!</v>
      </c>
      <c r="EN667" s="1398"/>
      <c r="EO667" s="1398"/>
      <c r="EP667" s="1398"/>
      <c r="EQ667" s="1398"/>
      <c r="ER667" s="1398" t="e">
        <f t="shared" si="46"/>
        <v>#VALUE!</v>
      </c>
      <c r="ES667" s="1398"/>
      <c r="ET667" s="1398"/>
      <c r="EU667" s="1398"/>
      <c r="EV667" s="1398"/>
      <c r="EW667" s="1398" t="e">
        <f t="shared" si="47"/>
        <v>#VALUE!</v>
      </c>
      <c r="EX667" s="1398"/>
      <c r="EY667" s="1398"/>
      <c r="EZ667" s="1398"/>
      <c r="FA667" s="1398"/>
    </row>
    <row r="668" spans="1:157" ht="12.9" customHeight="1">
      <c r="A668" s="22"/>
      <c r="B668" t="s">
        <v>85</v>
      </c>
      <c r="G668" s="1364"/>
      <c r="H668" s="1364"/>
      <c r="I668" s="1364"/>
      <c r="J668" s="1364"/>
      <c r="K668" s="1364"/>
      <c r="L668" s="1364"/>
      <c r="M668" s="1364"/>
      <c r="N668" s="1364"/>
      <c r="O668" s="1364"/>
      <c r="P668" s="1364"/>
      <c r="Q668" s="1364"/>
      <c r="R668" s="1364"/>
      <c r="T668" s="22"/>
      <c r="U668" t="s">
        <v>85</v>
      </c>
      <c r="Z668" s="1364"/>
      <c r="AA668" s="1364"/>
      <c r="AB668" s="1364"/>
      <c r="AC668" s="1364"/>
      <c r="AD668" s="1364"/>
      <c r="AE668" s="1364"/>
      <c r="AF668" s="1364"/>
      <c r="AG668" s="1364"/>
      <c r="AH668" s="1364"/>
      <c r="AI668" s="1364"/>
      <c r="AJ668" s="1364"/>
      <c r="AK668" s="1364"/>
      <c r="AZ668" s="3"/>
      <c r="BA668" s="118">
        <f t="shared" si="48"/>
        <v>2490</v>
      </c>
      <c r="BB668" s="3"/>
      <c r="BC668" s="3"/>
      <c r="BD668" s="3"/>
      <c r="BE668" s="3"/>
      <c r="BF668" s="218"/>
      <c r="BG668" s="315">
        <f t="shared" ref="BG668:BG700" si="49">G718</f>
        <v>2</v>
      </c>
      <c r="BH668" s="319">
        <f t="shared" ref="BH668:BH702" si="50">IF($BG$703=0,0,BG668/$BG$703)</f>
        <v>1.2195121951219513E-2</v>
      </c>
      <c r="BI668" s="320">
        <f t="shared" ref="BI668:BI691" si="51">IF(BH668=0,"",BH668*AC718)</f>
        <v>3.6585365853658534E-3</v>
      </c>
      <c r="BJ668" s="3"/>
      <c r="BK668" s="3"/>
      <c r="BL668" s="3"/>
      <c r="BM668" s="3"/>
      <c r="BN668" s="3"/>
      <c r="BO668" s="3"/>
      <c r="BT668" s="315">
        <f t="shared" ref="BT668:BT700" si="52">G718</f>
        <v>2</v>
      </c>
      <c r="BU668" s="319">
        <f t="shared" ref="BU668:BU702" si="53">IF($BT$703=0,0,BT668/$BT$703)</f>
        <v>1.2195121951219513E-2</v>
      </c>
      <c r="BV668" s="320">
        <f t="shared" ref="BV668:BV700" si="54">IF(BU668=0,"",BU668*AH718)</f>
        <v>3.6585365853658534E-3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98" t="e">
        <f>DX630*(BN630/$BN$632)</f>
        <v>#VALUE!</v>
      </c>
      <c r="DY668" s="1398"/>
      <c r="DZ668" s="1398"/>
      <c r="EA668" s="1398"/>
      <c r="EB668" s="1398"/>
      <c r="EC668" s="1398" t="e">
        <f>EC630*(BS630/$BS$632)</f>
        <v>#VALUE!</v>
      </c>
      <c r="ED668" s="1398"/>
      <c r="EE668" s="1398"/>
      <c r="EF668" s="1398"/>
      <c r="EG668" s="1398"/>
      <c r="EH668" s="1398" t="e">
        <f>EH630*(BX630/$BX$632)</f>
        <v>#VALUE!</v>
      </c>
      <c r="EI668" s="1398"/>
      <c r="EJ668" s="1398"/>
      <c r="EK668" s="1398"/>
      <c r="EL668" s="1398"/>
      <c r="EM668" s="1398" t="e">
        <f>EM630*(CC630/$CC$632)</f>
        <v>#VALUE!</v>
      </c>
      <c r="EN668" s="1398"/>
      <c r="EO668" s="1398"/>
      <c r="EP668" s="1398"/>
      <c r="EQ668" s="1398"/>
      <c r="ER668" s="1398" t="e">
        <f>ER630*(CH630/$CH$632)</f>
        <v>#VALUE!</v>
      </c>
      <c r="ES668" s="1398"/>
      <c r="ET668" s="1398"/>
      <c r="EU668" s="1398"/>
      <c r="EV668" s="1398"/>
      <c r="EW668" s="1398" t="e">
        <f>EW630*(CM630/$CM$632)</f>
        <v>#VALUE!</v>
      </c>
      <c r="EX668" s="1398"/>
      <c r="EY668" s="1398"/>
      <c r="EZ668" s="1398"/>
      <c r="FA668" s="1398"/>
    </row>
    <row r="669" spans="1:157" ht="12.9" customHeight="1">
      <c r="A669" s="22"/>
      <c r="B669" t="s">
        <v>588</v>
      </c>
      <c r="G669" s="1364"/>
      <c r="H669" s="1364"/>
      <c r="I669" s="1364"/>
      <c r="J669" s="1364"/>
      <c r="K669" s="1364"/>
      <c r="L669" s="1364"/>
      <c r="M669" s="1364"/>
      <c r="N669" s="1364"/>
      <c r="O669" s="1364"/>
      <c r="P669" s="1364"/>
      <c r="Q669" s="1364"/>
      <c r="R669" s="1364"/>
      <c r="T669" s="22"/>
      <c r="U669" t="s">
        <v>588</v>
      </c>
      <c r="Z669" s="1376"/>
      <c r="AA669" s="1376"/>
      <c r="AB669" s="1376"/>
      <c r="AC669" s="1376"/>
      <c r="AD669" s="1376"/>
      <c r="AE669" s="1376"/>
      <c r="AF669" s="1376"/>
      <c r="AG669" s="1376"/>
      <c r="AH669" s="1376"/>
      <c r="AI669" s="1376"/>
      <c r="AJ669" s="1376"/>
      <c r="AK669" s="1376"/>
      <c r="AZ669" s="3"/>
      <c r="BA669" s="118">
        <f t="shared" si="48"/>
        <v>2490</v>
      </c>
      <c r="BB669" s="3"/>
      <c r="BC669" s="3"/>
      <c r="BD669" s="3"/>
      <c r="BE669" s="3"/>
      <c r="BF669" s="218"/>
      <c r="BG669" s="316">
        <f t="shared" si="49"/>
        <v>4</v>
      </c>
      <c r="BH669" s="319">
        <f t="shared" si="50"/>
        <v>2.4390243902439025E-2</v>
      </c>
      <c r="BI669" s="320">
        <f t="shared" si="51"/>
        <v>7.3170731707317069E-3</v>
      </c>
      <c r="BJ669" s="3"/>
      <c r="BK669" s="3"/>
      <c r="BL669" s="3"/>
      <c r="BM669" s="3"/>
      <c r="BN669" s="3"/>
      <c r="BO669" s="3"/>
      <c r="BT669" s="316">
        <f t="shared" si="52"/>
        <v>4</v>
      </c>
      <c r="BU669" s="319">
        <f t="shared" si="53"/>
        <v>2.4390243902439025E-2</v>
      </c>
      <c r="BV669" s="320">
        <f t="shared" si="54"/>
        <v>7.3170731707317069E-3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98" t="e">
        <f>DX631*(BN631/$BN$632)</f>
        <v>#VALUE!</v>
      </c>
      <c r="DY669" s="1398"/>
      <c r="DZ669" s="1398"/>
      <c r="EA669" s="1398"/>
      <c r="EB669" s="1398"/>
      <c r="EC669" s="1398" t="e">
        <f>EC631*(BS631/$BS$632)</f>
        <v>#VALUE!</v>
      </c>
      <c r="ED669" s="1398"/>
      <c r="EE669" s="1398"/>
      <c r="EF669" s="1398"/>
      <c r="EG669" s="1398"/>
      <c r="EH669" s="1398" t="e">
        <f>EH631*(BX631/$BX$632)</f>
        <v>#VALUE!</v>
      </c>
      <c r="EI669" s="1398"/>
      <c r="EJ669" s="1398"/>
      <c r="EK669" s="1398"/>
      <c r="EL669" s="1398"/>
      <c r="EM669" s="1398" t="e">
        <f>EM631*(CC631/$CC$632)</f>
        <v>#VALUE!</v>
      </c>
      <c r="EN669" s="1398"/>
      <c r="EO669" s="1398"/>
      <c r="EP669" s="1398"/>
      <c r="EQ669" s="1398"/>
      <c r="ER669" s="1398" t="e">
        <f>ER631*(CH631/$CH$632)</f>
        <v>#VALUE!</v>
      </c>
      <c r="ES669" s="1398"/>
      <c r="ET669" s="1398"/>
      <c r="EU669" s="1398"/>
      <c r="EV669" s="1398"/>
      <c r="EW669" s="1398" t="e">
        <f>EW631*(CM631/$CM$632)</f>
        <v>#VALUE!</v>
      </c>
      <c r="EX669" s="1398"/>
      <c r="EY669" s="1398"/>
      <c r="EZ669" s="1398"/>
      <c r="FA669" s="1398"/>
    </row>
    <row r="670" spans="1:157" ht="12.9" customHeight="1">
      <c r="A670" s="22"/>
      <c r="B670" t="s">
        <v>17</v>
      </c>
      <c r="G670" s="1364"/>
      <c r="H670" s="1364"/>
      <c r="I670" s="1364"/>
      <c r="J670" s="1364"/>
      <c r="K670" s="1364"/>
      <c r="L670" s="1364"/>
      <c r="M670" s="1364"/>
      <c r="N670" s="1364"/>
      <c r="O670" s="1364"/>
      <c r="P670" s="1364"/>
      <c r="Q670" s="1364"/>
      <c r="R670" s="1364"/>
      <c r="T670" s="22"/>
      <c r="U670" t="s">
        <v>17</v>
      </c>
      <c r="Z670" s="1376"/>
      <c r="AA670" s="1376"/>
      <c r="AB670" s="1376"/>
      <c r="AC670" s="1376"/>
      <c r="AD670" s="1376"/>
      <c r="AE670" s="1376"/>
      <c r="AF670" s="1376"/>
      <c r="AG670" s="1376"/>
      <c r="AH670" s="1376"/>
      <c r="AI670" s="1376"/>
      <c r="AJ670" s="1376"/>
      <c r="AK670" s="1376"/>
      <c r="AZ670" s="3"/>
      <c r="BA670" s="118">
        <f t="shared" si="48"/>
        <v>2490</v>
      </c>
      <c r="BB670" s="3"/>
      <c r="BC670" s="3"/>
      <c r="BD670" s="3"/>
      <c r="BE670" s="3"/>
      <c r="BF670" s="218"/>
      <c r="BG670" s="316">
        <f t="shared" si="49"/>
        <v>6</v>
      </c>
      <c r="BH670" s="319">
        <f t="shared" si="50"/>
        <v>3.6585365853658534E-2</v>
      </c>
      <c r="BI670" s="320">
        <f t="shared" si="51"/>
        <v>1.4634146341463414E-2</v>
      </c>
      <c r="BJ670" s="3"/>
      <c r="BK670" s="3"/>
      <c r="BL670" s="3"/>
      <c r="BM670" s="3"/>
      <c r="BN670" s="3"/>
      <c r="BO670" s="3"/>
      <c r="BT670" s="316">
        <f t="shared" si="52"/>
        <v>6</v>
      </c>
      <c r="BU670" s="319">
        <f t="shared" si="53"/>
        <v>3.6585365853658534E-2</v>
      </c>
      <c r="BV670" s="320">
        <f t="shared" si="54"/>
        <v>1.4634146341463414E-2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98">
        <f>SUMIF(DX635:EB669,"&gt;0")</f>
        <v>0</v>
      </c>
      <c r="DY670" s="1398"/>
      <c r="DZ670" s="1398"/>
      <c r="EA670" s="1398"/>
      <c r="EB670" s="1398"/>
      <c r="EC670" s="1398">
        <f>SUMIF(EC635:EG669,"&gt;0")</f>
        <v>1425</v>
      </c>
      <c r="ED670" s="1398"/>
      <c r="EE670" s="1398"/>
      <c r="EF670" s="1398"/>
      <c r="EG670" s="1398"/>
      <c r="EH670" s="1398">
        <f>SUMIF(EH635:EL669,"&gt;0")</f>
        <v>1611.1935483870968</v>
      </c>
      <c r="EI670" s="1398"/>
      <c r="EJ670" s="1398"/>
      <c r="EK670" s="1398"/>
      <c r="EL670" s="1398"/>
      <c r="EM670" s="1398">
        <f>SUMIF(EM635:EQ669,"&gt;0")</f>
        <v>1917.3090909090909</v>
      </c>
      <c r="EN670" s="1398"/>
      <c r="EO670" s="1398"/>
      <c r="EP670" s="1398"/>
      <c r="EQ670" s="1398"/>
      <c r="ER670" s="1398">
        <f>SUMIF(ER635:EV669,"&gt;0")</f>
        <v>2117.1111111111113</v>
      </c>
      <c r="ES670" s="1398"/>
      <c r="ET670" s="1398"/>
      <c r="EU670" s="1398"/>
      <c r="EV670" s="1398"/>
      <c r="EW670" s="1398">
        <f>SUMIF(EW635:FA669,"&gt;0")</f>
        <v>0</v>
      </c>
      <c r="EX670" s="1398"/>
      <c r="EY670" s="1398"/>
      <c r="EZ670" s="1398"/>
      <c r="FA670" s="1398"/>
    </row>
    <row r="671" spans="1:157" ht="12.9" customHeight="1">
      <c r="A671" s="22"/>
      <c r="B671" t="s">
        <v>317</v>
      </c>
      <c r="G671" s="1396"/>
      <c r="H671" s="1396"/>
      <c r="I671" s="1396"/>
      <c r="J671" s="1396"/>
      <c r="K671" s="1396"/>
      <c r="L671" s="1396"/>
      <c r="O671" s="33" t="s">
        <v>207</v>
      </c>
      <c r="P671" s="1377"/>
      <c r="Q671" s="1377"/>
      <c r="R671" s="1377"/>
      <c r="T671" s="22"/>
      <c r="U671" t="s">
        <v>317</v>
      </c>
      <c r="Z671" s="1396"/>
      <c r="AA671" s="1396"/>
      <c r="AB671" s="1396"/>
      <c r="AC671" s="1396"/>
      <c r="AD671" s="1396"/>
      <c r="AE671" s="1396"/>
      <c r="AH671" s="33" t="s">
        <v>207</v>
      </c>
      <c r="AI671" s="1377"/>
      <c r="AJ671" s="1377"/>
      <c r="AK671" s="1377"/>
      <c r="AZ671" s="3"/>
      <c r="BA671" s="118">
        <f t="shared" si="48"/>
        <v>2490</v>
      </c>
      <c r="BB671" s="3"/>
      <c r="BC671" s="3"/>
      <c r="BD671" s="3"/>
      <c r="BE671" s="3"/>
      <c r="BF671" s="218"/>
      <c r="BG671" s="316">
        <f t="shared" si="49"/>
        <v>6</v>
      </c>
      <c r="BH671" s="319">
        <f t="shared" si="50"/>
        <v>3.6585365853658534E-2</v>
      </c>
      <c r="BI671" s="320">
        <f t="shared" si="51"/>
        <v>1.8292682926829267E-2</v>
      </c>
      <c r="BJ671" s="3"/>
      <c r="BK671" s="3"/>
      <c r="BL671" s="3"/>
      <c r="BM671" s="3"/>
      <c r="BN671" s="3"/>
      <c r="BO671" s="3"/>
      <c r="BT671" s="316">
        <f t="shared" si="52"/>
        <v>6</v>
      </c>
      <c r="BU671" s="319">
        <f t="shared" si="53"/>
        <v>3.6585365853658534E-2</v>
      </c>
      <c r="BV671" s="320">
        <f t="shared" si="54"/>
        <v>1.8292682926829267E-2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64"/>
      <c r="I672" s="1364"/>
      <c r="J672" s="1364"/>
      <c r="K672" s="1364"/>
      <c r="L672" s="1364"/>
      <c r="M672" s="1364"/>
      <c r="N672" s="1364"/>
      <c r="O672" s="1364"/>
      <c r="P672" s="1364"/>
      <c r="Q672" s="1364"/>
      <c r="R672" s="1364"/>
      <c r="T672" s="22"/>
      <c r="U672" t="s">
        <v>18</v>
      </c>
      <c r="AA672" s="1364"/>
      <c r="AB672" s="1364"/>
      <c r="AC672" s="1364"/>
      <c r="AD672" s="1364"/>
      <c r="AE672" s="1364"/>
      <c r="AF672" s="1364"/>
      <c r="AG672" s="1364"/>
      <c r="AH672" s="1364"/>
      <c r="AI672" s="1364"/>
      <c r="AJ672" s="1364"/>
      <c r="AK672" s="1364"/>
      <c r="AZ672" s="3"/>
      <c r="BA672" s="118">
        <f t="shared" si="48"/>
        <v>2490</v>
      </c>
      <c r="BB672" s="3"/>
      <c r="BC672" s="3"/>
      <c r="BD672" s="3"/>
      <c r="BE672" s="3"/>
      <c r="BF672" s="218"/>
      <c r="BG672" s="316">
        <f t="shared" si="49"/>
        <v>6</v>
      </c>
      <c r="BH672" s="319">
        <f t="shared" si="50"/>
        <v>3.6585365853658534E-2</v>
      </c>
      <c r="BI672" s="320">
        <f t="shared" si="51"/>
        <v>2.1951219512195121E-2</v>
      </c>
      <c r="BJ672" s="3"/>
      <c r="BK672" s="3"/>
      <c r="BL672" s="3"/>
      <c r="BM672" s="3"/>
      <c r="BN672" s="3"/>
      <c r="BO672" s="3"/>
      <c r="BT672" s="316">
        <f t="shared" si="52"/>
        <v>6</v>
      </c>
      <c r="BU672" s="319">
        <f t="shared" si="53"/>
        <v>3.6585365853658534E-2</v>
      </c>
      <c r="BV672" s="320">
        <f t="shared" si="54"/>
        <v>2.1951219512195121E-2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2"/>
      <c r="B673" t="s">
        <v>20</v>
      </c>
      <c r="N673" s="1374" t="s">
        <v>677</v>
      </c>
      <c r="O673" s="1374"/>
      <c r="T673" s="22"/>
      <c r="U673" t="s">
        <v>20</v>
      </c>
      <c r="AG673" s="1374" t="s">
        <v>677</v>
      </c>
      <c r="AH673" s="1374"/>
      <c r="AZ673" s="3"/>
      <c r="BA673" s="118">
        <f t="shared" si="48"/>
        <v>2990</v>
      </c>
      <c r="BB673" s="3"/>
      <c r="BC673" s="3"/>
      <c r="BD673" s="3"/>
      <c r="BE673" s="3"/>
      <c r="BF673" s="218"/>
      <c r="BG673" s="316">
        <f t="shared" si="49"/>
        <v>36</v>
      </c>
      <c r="BH673" s="319">
        <f t="shared" si="50"/>
        <v>0.21951219512195122</v>
      </c>
      <c r="BI673" s="320">
        <f t="shared" si="51"/>
        <v>0.15365853658536585</v>
      </c>
      <c r="BJ673" s="3"/>
      <c r="BK673" s="3"/>
      <c r="BL673" s="3"/>
      <c r="BM673" s="3"/>
      <c r="BN673" s="3"/>
      <c r="BO673" s="3"/>
      <c r="BT673" s="316">
        <f t="shared" si="52"/>
        <v>36</v>
      </c>
      <c r="BU673" s="319">
        <f t="shared" si="53"/>
        <v>0.21951219512195122</v>
      </c>
      <c r="BV673" s="320">
        <f t="shared" si="54"/>
        <v>0.15365853658536585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2"/>
      <c r="T674" s="22"/>
      <c r="AZ674" s="3"/>
      <c r="BA674" s="118">
        <f t="shared" si="48"/>
        <v>2990</v>
      </c>
      <c r="BB674" s="3"/>
      <c r="BC674" s="3"/>
      <c r="BD674" s="3"/>
      <c r="BE674" s="3"/>
      <c r="BF674" s="218"/>
      <c r="BG674" s="316">
        <f t="shared" si="49"/>
        <v>2</v>
      </c>
      <c r="BH674" s="319">
        <f t="shared" si="50"/>
        <v>1.2195121951219513E-2</v>
      </c>
      <c r="BI674" s="320">
        <f t="shared" si="51"/>
        <v>3.6585365853658534E-3</v>
      </c>
      <c r="BJ674" s="3"/>
      <c r="BK674" s="3"/>
      <c r="BL674" s="3"/>
      <c r="BM674" s="3"/>
      <c r="BN674" s="3"/>
      <c r="BO674" s="3"/>
      <c r="BT674" s="316">
        <f t="shared" si="52"/>
        <v>2</v>
      </c>
      <c r="BU674" s="319">
        <f t="shared" si="53"/>
        <v>1.2195121951219513E-2</v>
      </c>
      <c r="BV674" s="320">
        <f t="shared" si="54"/>
        <v>3.6585365853658534E-3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55" t="s">
        <v>469</v>
      </c>
      <c r="B675" t="s">
        <v>471</v>
      </c>
      <c r="G675" s="1375">
        <f>C635</f>
        <v>0</v>
      </c>
      <c r="H675" s="1375"/>
      <c r="I675" s="1375"/>
      <c r="J675" s="1375"/>
      <c r="K675" s="1375"/>
      <c r="L675" s="1375"/>
      <c r="M675" s="1375"/>
      <c r="N675" s="1375"/>
      <c r="O675" s="1375"/>
      <c r="P675" s="1375"/>
      <c r="Q675" s="1375"/>
      <c r="R675" s="1375"/>
      <c r="T675" s="55" t="s">
        <v>654</v>
      </c>
      <c r="U675" t="s">
        <v>471</v>
      </c>
      <c r="Z675" s="1375">
        <f>C636</f>
        <v>0</v>
      </c>
      <c r="AA675" s="1375"/>
      <c r="AB675" s="1375"/>
      <c r="AC675" s="1375"/>
      <c r="AD675" s="1375"/>
      <c r="AE675" s="1375"/>
      <c r="AF675" s="1375"/>
      <c r="AG675" s="1375"/>
      <c r="AH675" s="1375"/>
      <c r="AI675" s="1375"/>
      <c r="AJ675" s="1375"/>
      <c r="AK675" s="1375"/>
      <c r="AZ675" s="3"/>
      <c r="BA675" s="118">
        <f t="shared" si="48"/>
        <v>2990</v>
      </c>
      <c r="BB675" s="3"/>
      <c r="BC675" s="3"/>
      <c r="BD675" s="3"/>
      <c r="BE675" s="3"/>
      <c r="BF675" s="218"/>
      <c r="BG675" s="316">
        <f t="shared" si="49"/>
        <v>2</v>
      </c>
      <c r="BH675" s="319">
        <f t="shared" si="50"/>
        <v>1.2195121951219513E-2</v>
      </c>
      <c r="BI675" s="320">
        <f t="shared" si="51"/>
        <v>3.6585365853658534E-3</v>
      </c>
      <c r="BJ675" s="3"/>
      <c r="BK675" s="3"/>
      <c r="BL675" s="3"/>
      <c r="BM675" s="3"/>
      <c r="BN675" s="3"/>
      <c r="BO675" s="3"/>
      <c r="BT675" s="316">
        <f t="shared" si="52"/>
        <v>2</v>
      </c>
      <c r="BU675" s="319">
        <f t="shared" si="53"/>
        <v>1.2195121951219513E-2</v>
      </c>
      <c r="BV675" s="320">
        <f t="shared" si="54"/>
        <v>3.6585365853658534E-3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2"/>
      <c r="B676" t="s">
        <v>85</v>
      </c>
      <c r="G676" s="1364"/>
      <c r="H676" s="1364"/>
      <c r="I676" s="1364"/>
      <c r="J676" s="1364"/>
      <c r="K676" s="1364"/>
      <c r="L676" s="1364"/>
      <c r="M676" s="1364"/>
      <c r="N676" s="1364"/>
      <c r="O676" s="1364"/>
      <c r="P676" s="1364"/>
      <c r="Q676" s="1364"/>
      <c r="R676" s="1364"/>
      <c r="T676" s="22"/>
      <c r="U676" t="s">
        <v>85</v>
      </c>
      <c r="Z676" s="1364"/>
      <c r="AA676" s="1364"/>
      <c r="AB676" s="1364"/>
      <c r="AC676" s="1364"/>
      <c r="AD676" s="1364"/>
      <c r="AE676" s="1364"/>
      <c r="AF676" s="1364"/>
      <c r="AG676" s="1364"/>
      <c r="AH676" s="1364"/>
      <c r="AI676" s="1364"/>
      <c r="AJ676" s="1364"/>
      <c r="AK676" s="1364"/>
      <c r="AZ676" s="3"/>
      <c r="BA676" s="118">
        <f t="shared" si="48"/>
        <v>2990</v>
      </c>
      <c r="BB676" s="3"/>
      <c r="BC676" s="3"/>
      <c r="BD676" s="3"/>
      <c r="BE676" s="3"/>
      <c r="BF676" s="218"/>
      <c r="BG676" s="316">
        <f t="shared" si="49"/>
        <v>4</v>
      </c>
      <c r="BH676" s="319">
        <f t="shared" si="50"/>
        <v>2.4390243902439025E-2</v>
      </c>
      <c r="BI676" s="320">
        <f t="shared" si="51"/>
        <v>9.7560975609756115E-3</v>
      </c>
      <c r="BJ676" s="3"/>
      <c r="BK676" s="3"/>
      <c r="BL676" s="3"/>
      <c r="BM676" s="3"/>
      <c r="BN676" s="3"/>
      <c r="BO676" s="3"/>
      <c r="BT676" s="316">
        <f t="shared" si="52"/>
        <v>4</v>
      </c>
      <c r="BU676" s="319">
        <f t="shared" si="53"/>
        <v>2.4390243902439025E-2</v>
      </c>
      <c r="BV676" s="320">
        <f t="shared" si="54"/>
        <v>9.7560975609756115E-3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2"/>
      <c r="B677" t="s">
        <v>588</v>
      </c>
      <c r="G677" s="1364"/>
      <c r="H677" s="1364"/>
      <c r="I677" s="1364"/>
      <c r="J677" s="1364"/>
      <c r="K677" s="1364"/>
      <c r="L677" s="1364"/>
      <c r="M677" s="1364"/>
      <c r="N677" s="1364"/>
      <c r="O677" s="1364"/>
      <c r="P677" s="1364"/>
      <c r="Q677" s="1364"/>
      <c r="R677" s="1364"/>
      <c r="T677" s="22"/>
      <c r="U677" t="s">
        <v>588</v>
      </c>
      <c r="Z677" s="1376"/>
      <c r="AA677" s="1376"/>
      <c r="AB677" s="1376"/>
      <c r="AC677" s="1376"/>
      <c r="AD677" s="1376"/>
      <c r="AE677" s="1376"/>
      <c r="AF677" s="1376"/>
      <c r="AG677" s="1376"/>
      <c r="AH677" s="1376"/>
      <c r="AI677" s="1376"/>
      <c r="AJ677" s="1376"/>
      <c r="AK677" s="1376"/>
      <c r="AZ677" s="3"/>
      <c r="BA677" s="118">
        <f t="shared" si="48"/>
        <v>2990</v>
      </c>
      <c r="BB677" s="3"/>
      <c r="BC677" s="3"/>
      <c r="BD677" s="3"/>
      <c r="BE677" s="3"/>
      <c r="BF677" s="218"/>
      <c r="BG677" s="316">
        <f t="shared" si="49"/>
        <v>4</v>
      </c>
      <c r="BH677" s="319">
        <f t="shared" si="50"/>
        <v>2.4390243902439025E-2</v>
      </c>
      <c r="BI677" s="320">
        <f t="shared" si="51"/>
        <v>1.2195121951219513E-2</v>
      </c>
      <c r="BJ677" s="3"/>
      <c r="BK677" s="3"/>
      <c r="BL677" s="3"/>
      <c r="BM677" s="3"/>
      <c r="BN677" s="3"/>
      <c r="BO677" s="3"/>
      <c r="BT677" s="316">
        <f t="shared" si="52"/>
        <v>4</v>
      </c>
      <c r="BU677" s="319">
        <f t="shared" si="53"/>
        <v>2.4390243902439025E-2</v>
      </c>
      <c r="BV677" s="320">
        <f t="shared" si="54"/>
        <v>1.2195121951219513E-2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2"/>
      <c r="B678" t="s">
        <v>17</v>
      </c>
      <c r="G678" s="1364"/>
      <c r="H678" s="1364"/>
      <c r="I678" s="1364"/>
      <c r="J678" s="1364"/>
      <c r="K678" s="1364"/>
      <c r="L678" s="1364"/>
      <c r="M678" s="1364"/>
      <c r="N678" s="1364"/>
      <c r="O678" s="1364"/>
      <c r="P678" s="1364"/>
      <c r="Q678" s="1364"/>
      <c r="R678" s="1364"/>
      <c r="T678" s="22"/>
      <c r="U678" t="s">
        <v>17</v>
      </c>
      <c r="Z678" s="1376"/>
      <c r="AA678" s="1376"/>
      <c r="AB678" s="1376"/>
      <c r="AC678" s="1376"/>
      <c r="AD678" s="1376"/>
      <c r="AE678" s="1376"/>
      <c r="AF678" s="1376"/>
      <c r="AG678" s="1376"/>
      <c r="AH678" s="1376"/>
      <c r="AI678" s="1376"/>
      <c r="AJ678" s="1376"/>
      <c r="AK678" s="1376"/>
      <c r="AZ678" s="3"/>
      <c r="BA678" s="118">
        <f t="shared" si="48"/>
        <v>2990</v>
      </c>
      <c r="BB678" s="3"/>
      <c r="BC678" s="3"/>
      <c r="BD678" s="3"/>
      <c r="BE678" s="3"/>
      <c r="BF678" s="218"/>
      <c r="BG678" s="316">
        <f t="shared" si="49"/>
        <v>4</v>
      </c>
      <c r="BH678" s="319">
        <f t="shared" si="50"/>
        <v>2.4390243902439025E-2</v>
      </c>
      <c r="BI678" s="320">
        <f t="shared" si="51"/>
        <v>1.4634146341463414E-2</v>
      </c>
      <c r="BJ678" s="3"/>
      <c r="BK678" s="3"/>
      <c r="BL678" s="3"/>
      <c r="BM678" s="3"/>
      <c r="BN678" s="3"/>
      <c r="BO678" s="3"/>
      <c r="BT678" s="316">
        <f t="shared" si="52"/>
        <v>4</v>
      </c>
      <c r="BU678" s="319">
        <f t="shared" si="53"/>
        <v>2.4390243902439025E-2</v>
      </c>
      <c r="BV678" s="320">
        <f t="shared" si="54"/>
        <v>1.4634146341463414E-2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2"/>
      <c r="B679" t="s">
        <v>317</v>
      </c>
      <c r="G679" s="1396"/>
      <c r="H679" s="1396"/>
      <c r="I679" s="1396"/>
      <c r="J679" s="1396"/>
      <c r="K679" s="1396"/>
      <c r="L679" s="1396"/>
      <c r="O679" s="33" t="s">
        <v>207</v>
      </c>
      <c r="P679" s="1377"/>
      <c r="Q679" s="1377"/>
      <c r="R679" s="1377"/>
      <c r="T679" s="22"/>
      <c r="U679" t="s">
        <v>317</v>
      </c>
      <c r="Z679" s="1396"/>
      <c r="AA679" s="1396"/>
      <c r="AB679" s="1396"/>
      <c r="AC679" s="1396"/>
      <c r="AD679" s="1396"/>
      <c r="AE679" s="1396"/>
      <c r="AH679" s="33" t="s">
        <v>207</v>
      </c>
      <c r="AI679" s="1377"/>
      <c r="AJ679" s="1377"/>
      <c r="AK679" s="1377"/>
      <c r="AZ679" s="3"/>
      <c r="BA679" s="118">
        <f t="shared" si="48"/>
        <v>3452</v>
      </c>
      <c r="BB679" s="3"/>
      <c r="BC679" s="3"/>
      <c r="BD679" s="3"/>
      <c r="BE679" s="3"/>
      <c r="BF679" s="218"/>
      <c r="BG679" s="316">
        <f t="shared" si="49"/>
        <v>15</v>
      </c>
      <c r="BH679" s="319">
        <f t="shared" si="50"/>
        <v>9.1463414634146339E-2</v>
      </c>
      <c r="BI679" s="320">
        <f t="shared" si="51"/>
        <v>6.402439024390244E-2</v>
      </c>
      <c r="BJ679" s="3"/>
      <c r="BK679" s="3"/>
      <c r="BL679" s="3"/>
      <c r="BM679" s="3"/>
      <c r="BN679" s="3"/>
      <c r="BO679" s="3"/>
      <c r="BT679" s="316">
        <f t="shared" si="52"/>
        <v>15</v>
      </c>
      <c r="BU679" s="319">
        <f t="shared" si="53"/>
        <v>9.1463414634146339E-2</v>
      </c>
      <c r="BV679" s="320">
        <f t="shared" si="54"/>
        <v>6.402439024390244E-2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2"/>
      <c r="B680" t="s">
        <v>18</v>
      </c>
      <c r="H680" s="1364"/>
      <c r="I680" s="1364"/>
      <c r="J680" s="1364"/>
      <c r="K680" s="1364"/>
      <c r="L680" s="1364"/>
      <c r="M680" s="1364"/>
      <c r="N680" s="1364"/>
      <c r="O680" s="1364"/>
      <c r="P680" s="1364"/>
      <c r="Q680" s="1364"/>
      <c r="R680" s="1364"/>
      <c r="T680" s="22"/>
      <c r="U680" t="s">
        <v>18</v>
      </c>
      <c r="AA680" s="1364"/>
      <c r="AB680" s="1364"/>
      <c r="AC680" s="1364"/>
      <c r="AD680" s="1364"/>
      <c r="AE680" s="1364"/>
      <c r="AF680" s="1364"/>
      <c r="AG680" s="1364"/>
      <c r="AH680" s="1364"/>
      <c r="AI680" s="1364"/>
      <c r="AJ680" s="1364"/>
      <c r="AK680" s="1364"/>
      <c r="AZ680" s="3"/>
      <c r="BA680" s="118">
        <f t="shared" si="48"/>
        <v>3452</v>
      </c>
      <c r="BB680" s="3"/>
      <c r="BC680" s="3"/>
      <c r="BD680" s="3"/>
      <c r="BE680" s="3"/>
      <c r="BF680" s="218"/>
      <c r="BG680" s="316">
        <f t="shared" si="49"/>
        <v>2</v>
      </c>
      <c r="BH680" s="319">
        <f t="shared" si="50"/>
        <v>1.2195121951219513E-2</v>
      </c>
      <c r="BI680" s="320">
        <f t="shared" si="51"/>
        <v>3.6585365853658534E-3</v>
      </c>
      <c r="BJ680" s="3"/>
      <c r="BK680" s="3"/>
      <c r="BL680" s="3"/>
      <c r="BM680" s="3"/>
      <c r="BN680" s="3"/>
      <c r="BO680" s="3"/>
      <c r="BT680" s="316">
        <f t="shared" si="52"/>
        <v>2</v>
      </c>
      <c r="BU680" s="319">
        <f t="shared" si="53"/>
        <v>1.2195121951219513E-2</v>
      </c>
      <c r="BV680" s="320">
        <f t="shared" si="54"/>
        <v>3.6599496933555666E-3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2"/>
      <c r="B681" t="s">
        <v>20</v>
      </c>
      <c r="N681" s="1374" t="s">
        <v>677</v>
      </c>
      <c r="O681" s="1374"/>
      <c r="T681" s="22"/>
      <c r="U681" t="s">
        <v>20</v>
      </c>
      <c r="AG681" s="1374" t="s">
        <v>677</v>
      </c>
      <c r="AH681" s="1374"/>
      <c r="AZ681" s="3"/>
      <c r="BA681" s="118">
        <f t="shared" si="48"/>
        <v>3452</v>
      </c>
      <c r="BB681" s="3"/>
      <c r="BC681" s="3"/>
      <c r="BD681" s="3"/>
      <c r="BE681" s="3"/>
      <c r="BF681" s="218"/>
      <c r="BG681" s="316">
        <f t="shared" si="49"/>
        <v>4</v>
      </c>
      <c r="BH681" s="319">
        <f t="shared" si="50"/>
        <v>2.4390243902439025E-2</v>
      </c>
      <c r="BI681" s="320">
        <f t="shared" si="51"/>
        <v>7.3170731707317069E-3</v>
      </c>
      <c r="BJ681" s="3"/>
      <c r="BK681" s="3"/>
      <c r="BL681" s="3"/>
      <c r="BM681" s="3"/>
      <c r="BN681" s="3"/>
      <c r="BO681" s="3"/>
      <c r="BT681" s="316">
        <f t="shared" si="52"/>
        <v>4</v>
      </c>
      <c r="BU681" s="319">
        <f t="shared" si="53"/>
        <v>2.4390243902439025E-2</v>
      </c>
      <c r="BV681" s="320">
        <f t="shared" si="54"/>
        <v>7.3198993867111331E-3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2"/>
      <c r="T682" s="22"/>
      <c r="AZ682" s="3"/>
      <c r="BA682" s="118">
        <f t="shared" si="48"/>
        <v>3452</v>
      </c>
      <c r="BB682" s="3"/>
      <c r="BC682" s="3"/>
      <c r="BD682" s="3"/>
      <c r="BE682" s="3"/>
      <c r="BF682" s="218"/>
      <c r="BG682" s="316">
        <f t="shared" si="49"/>
        <v>6</v>
      </c>
      <c r="BH682" s="319">
        <f t="shared" si="50"/>
        <v>3.6585365853658534E-2</v>
      </c>
      <c r="BI682" s="320">
        <f t="shared" si="51"/>
        <v>1.4634146341463414E-2</v>
      </c>
      <c r="BJ682" s="3"/>
      <c r="BK682" s="3"/>
      <c r="BL682" s="3"/>
      <c r="BM682" s="3"/>
      <c r="BN682" s="3"/>
      <c r="BO682" s="3"/>
      <c r="BT682" s="316">
        <f t="shared" si="52"/>
        <v>6</v>
      </c>
      <c r="BU682" s="319">
        <f t="shared" si="53"/>
        <v>3.6585365853658534E-2</v>
      </c>
      <c r="BV682" s="320">
        <f t="shared" si="54"/>
        <v>1.4636266003447983E-2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55" t="s">
        <v>363</v>
      </c>
      <c r="B683" t="s">
        <v>471</v>
      </c>
      <c r="G683" s="1375">
        <f>C637</f>
        <v>0</v>
      </c>
      <c r="H683" s="1375"/>
      <c r="I683" s="1375"/>
      <c r="J683" s="1375"/>
      <c r="K683" s="1375"/>
      <c r="L683" s="1375"/>
      <c r="M683" s="1375"/>
      <c r="N683" s="1375"/>
      <c r="O683" s="1375"/>
      <c r="P683" s="1375"/>
      <c r="Q683" s="1375"/>
      <c r="R683" s="1375"/>
      <c r="T683" s="55" t="s">
        <v>364</v>
      </c>
      <c r="U683" t="s">
        <v>471</v>
      </c>
      <c r="Z683" s="1375">
        <f>C638</f>
        <v>0</v>
      </c>
      <c r="AA683" s="1375"/>
      <c r="AB683" s="1375"/>
      <c r="AC683" s="1375"/>
      <c r="AD683" s="1375"/>
      <c r="AE683" s="1375"/>
      <c r="AF683" s="1375"/>
      <c r="AG683" s="1375"/>
      <c r="AH683" s="1375"/>
      <c r="AI683" s="1375"/>
      <c r="AJ683" s="1375"/>
      <c r="AK683" s="1375"/>
      <c r="AZ683" s="3"/>
      <c r="BA683" s="118">
        <f t="shared" si="48"/>
        <v>3452</v>
      </c>
      <c r="BB683" s="3"/>
      <c r="BC683" s="3"/>
      <c r="BD683" s="3"/>
      <c r="BE683" s="3"/>
      <c r="BF683" s="218"/>
      <c r="BG683" s="316">
        <f t="shared" si="49"/>
        <v>6</v>
      </c>
      <c r="BH683" s="319">
        <f t="shared" si="50"/>
        <v>3.6585365853658534E-2</v>
      </c>
      <c r="BI683" s="320">
        <f t="shared" si="51"/>
        <v>1.8292682926829267E-2</v>
      </c>
      <c r="BJ683" s="3"/>
      <c r="BK683" s="3"/>
      <c r="BL683" s="3"/>
      <c r="BM683" s="3"/>
      <c r="BN683" s="3"/>
      <c r="BO683" s="3"/>
      <c r="BT683" s="316">
        <f t="shared" si="52"/>
        <v>6</v>
      </c>
      <c r="BU683" s="319">
        <f t="shared" si="53"/>
        <v>3.6585365853658534E-2</v>
      </c>
      <c r="BV683" s="320">
        <f t="shared" si="54"/>
        <v>1.8292682926829267E-2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85</v>
      </c>
      <c r="G684" s="1364"/>
      <c r="H684" s="1364"/>
      <c r="I684" s="1364"/>
      <c r="J684" s="1364"/>
      <c r="K684" s="1364"/>
      <c r="L684" s="1364"/>
      <c r="M684" s="1364"/>
      <c r="N684" s="1364"/>
      <c r="O684" s="1364"/>
      <c r="P684" s="1364"/>
      <c r="Q684" s="1364"/>
      <c r="R684" s="1364"/>
      <c r="T684" s="22"/>
      <c r="U684" t="s">
        <v>85</v>
      </c>
      <c r="Z684" s="1364"/>
      <c r="AA684" s="1364"/>
      <c r="AB684" s="1364"/>
      <c r="AC684" s="1364"/>
      <c r="AD684" s="1364"/>
      <c r="AE684" s="1364"/>
      <c r="AF684" s="1364"/>
      <c r="AG684" s="1364"/>
      <c r="AH684" s="1364"/>
      <c r="AI684" s="1364"/>
      <c r="AJ684" s="1364"/>
      <c r="AK684" s="1364"/>
      <c r="AZ684" s="3"/>
      <c r="BA684" s="118">
        <f t="shared" si="48"/>
        <v>3452</v>
      </c>
      <c r="BB684" s="3"/>
      <c r="BC684" s="3"/>
      <c r="BD684" s="3"/>
      <c r="BE684" s="3"/>
      <c r="BF684" s="218"/>
      <c r="BG684" s="316">
        <f t="shared" si="49"/>
        <v>6</v>
      </c>
      <c r="BH684" s="319">
        <f t="shared" si="50"/>
        <v>3.6585365853658534E-2</v>
      </c>
      <c r="BI684" s="320">
        <f t="shared" si="51"/>
        <v>2.1951219512195121E-2</v>
      </c>
      <c r="BJ684" s="3"/>
      <c r="BK684" s="3"/>
      <c r="BL684" s="3"/>
      <c r="BM684" s="3"/>
      <c r="BN684" s="3"/>
      <c r="BO684" s="3"/>
      <c r="BT684" s="316">
        <f t="shared" si="52"/>
        <v>6</v>
      </c>
      <c r="BU684" s="319">
        <f t="shared" si="53"/>
        <v>3.6585365853658534E-2</v>
      </c>
      <c r="BV684" s="320">
        <f t="shared" si="54"/>
        <v>2.1959698160133396E-2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588</v>
      </c>
      <c r="G685" s="1364"/>
      <c r="H685" s="1364"/>
      <c r="I685" s="1364"/>
      <c r="J685" s="1364"/>
      <c r="K685" s="1364"/>
      <c r="L685" s="1364"/>
      <c r="M685" s="1364"/>
      <c r="N685" s="1364"/>
      <c r="O685" s="1364"/>
      <c r="P685" s="1364"/>
      <c r="Q685" s="1364"/>
      <c r="R685" s="1364"/>
      <c r="U685" t="s">
        <v>588</v>
      </c>
      <c r="Z685" s="1376"/>
      <c r="AA685" s="1376"/>
      <c r="AB685" s="1376"/>
      <c r="AC685" s="1376"/>
      <c r="AD685" s="1376"/>
      <c r="AE685" s="1376"/>
      <c r="AF685" s="1376"/>
      <c r="AG685" s="1376"/>
      <c r="AH685" s="1376"/>
      <c r="AI685" s="1376"/>
      <c r="AJ685" s="1376"/>
      <c r="AK685" s="1376"/>
      <c r="AZ685" s="3"/>
      <c r="BA685" s="118">
        <f t="shared" si="48"/>
        <v>3852</v>
      </c>
      <c r="BB685" s="3"/>
      <c r="BC685" s="3"/>
      <c r="BD685" s="3"/>
      <c r="BE685" s="3"/>
      <c r="BF685" s="218"/>
      <c r="BG685" s="316">
        <f t="shared" si="49"/>
        <v>31</v>
      </c>
      <c r="BH685" s="319">
        <f t="shared" si="50"/>
        <v>0.18902439024390244</v>
      </c>
      <c r="BI685" s="320">
        <f t="shared" si="51"/>
        <v>0.13231707317073169</v>
      </c>
      <c r="BJ685" s="3"/>
      <c r="BK685" s="3"/>
      <c r="BL685" s="3"/>
      <c r="BM685" s="3"/>
      <c r="BN685" s="3"/>
      <c r="BO685" s="3"/>
      <c r="BT685" s="316">
        <f t="shared" si="52"/>
        <v>31</v>
      </c>
      <c r="BU685" s="319">
        <f t="shared" si="53"/>
        <v>0.18902439024390244</v>
      </c>
      <c r="BV685" s="320">
        <f t="shared" si="54"/>
        <v>0.13234992793149253</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17</v>
      </c>
      <c r="G686" s="1364"/>
      <c r="H686" s="1364"/>
      <c r="I686" s="1364"/>
      <c r="J686" s="1364"/>
      <c r="K686" s="1364"/>
      <c r="L686" s="1364"/>
      <c r="M686" s="1364"/>
      <c r="N686" s="1364"/>
      <c r="O686" s="1364"/>
      <c r="P686" s="1364"/>
      <c r="Q686" s="1364"/>
      <c r="R686" s="1364"/>
      <c r="U686" t="s">
        <v>17</v>
      </c>
      <c r="Z686" s="1376"/>
      <c r="AA686" s="1376"/>
      <c r="AB686" s="1376"/>
      <c r="AC686" s="1376"/>
      <c r="AD686" s="1376"/>
      <c r="AE686" s="1376"/>
      <c r="AF686" s="1376"/>
      <c r="AG686" s="1376"/>
      <c r="AH686" s="1376"/>
      <c r="AI686" s="1376"/>
      <c r="AJ686" s="1376"/>
      <c r="AK686" s="1376"/>
      <c r="AZ686" s="3"/>
      <c r="BA686" s="118">
        <f t="shared" si="48"/>
        <v>3852</v>
      </c>
      <c r="BB686" s="3"/>
      <c r="BC686" s="3"/>
      <c r="BD686" s="3"/>
      <c r="BE686" s="3"/>
      <c r="BF686" s="218"/>
      <c r="BG686" s="316">
        <f t="shared" si="49"/>
        <v>2</v>
      </c>
      <c r="BH686" s="319">
        <f t="shared" si="50"/>
        <v>1.2195121951219513E-2</v>
      </c>
      <c r="BI686" s="320">
        <f t="shared" si="51"/>
        <v>3.6585365853658534E-3</v>
      </c>
      <c r="BJ686" s="3"/>
      <c r="BK686" s="3"/>
      <c r="BL686" s="3"/>
      <c r="BM686" s="3"/>
      <c r="BN686" s="3"/>
      <c r="BO686" s="3"/>
      <c r="BT686" s="316">
        <f t="shared" si="52"/>
        <v>2</v>
      </c>
      <c r="BU686" s="319">
        <f t="shared" si="53"/>
        <v>1.2195121951219513E-2</v>
      </c>
      <c r="BV686" s="320">
        <f t="shared" si="54"/>
        <v>3.6566370336600564E-3</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317</v>
      </c>
      <c r="G687" s="1396"/>
      <c r="H687" s="1396"/>
      <c r="I687" s="1396"/>
      <c r="J687" s="1396"/>
      <c r="K687" s="1396"/>
      <c r="L687" s="1396"/>
      <c r="O687" s="33" t="s">
        <v>207</v>
      </c>
      <c r="P687" s="1377"/>
      <c r="Q687" s="1377"/>
      <c r="R687" s="1377"/>
      <c r="U687" t="s">
        <v>317</v>
      </c>
      <c r="Z687" s="1396"/>
      <c r="AA687" s="1396"/>
      <c r="AB687" s="1396"/>
      <c r="AC687" s="1396"/>
      <c r="AD687" s="1396"/>
      <c r="AE687" s="1396"/>
      <c r="AH687" s="33" t="s">
        <v>207</v>
      </c>
      <c r="AI687" s="1377"/>
      <c r="AJ687" s="1377"/>
      <c r="AK687" s="1377"/>
      <c r="AZ687" s="3"/>
      <c r="BA687" s="118">
        <f t="shared" si="48"/>
        <v>3852</v>
      </c>
      <c r="BB687" s="3"/>
      <c r="BC687" s="3"/>
      <c r="BD687" s="3"/>
      <c r="BE687" s="3"/>
      <c r="BF687" s="218"/>
      <c r="BG687" s="316">
        <f t="shared" si="49"/>
        <v>2</v>
      </c>
      <c r="BH687" s="319">
        <f t="shared" si="50"/>
        <v>1.2195121951219513E-2</v>
      </c>
      <c r="BI687" s="320">
        <f t="shared" si="51"/>
        <v>4.8780487804878057E-3</v>
      </c>
      <c r="BJ687" s="3"/>
      <c r="BK687" s="3"/>
      <c r="BL687" s="3"/>
      <c r="BM687" s="3"/>
      <c r="BN687" s="3"/>
      <c r="BO687" s="3"/>
      <c r="BT687" s="316">
        <f t="shared" si="52"/>
        <v>2</v>
      </c>
      <c r="BU687" s="319">
        <f t="shared" si="53"/>
        <v>1.2195121951219513E-2</v>
      </c>
      <c r="BV687" s="320">
        <f t="shared" si="54"/>
        <v>4.8786819643897375E-3</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18</v>
      </c>
      <c r="H688" s="1364"/>
      <c r="I688" s="1364"/>
      <c r="J688" s="1364"/>
      <c r="K688" s="1364"/>
      <c r="L688" s="1364"/>
      <c r="M688" s="1364"/>
      <c r="N688" s="1364"/>
      <c r="O688" s="1364"/>
      <c r="P688" s="1364"/>
      <c r="Q688" s="1364"/>
      <c r="R688" s="1364"/>
      <c r="U688" t="s">
        <v>18</v>
      </c>
      <c r="AA688" s="1364"/>
      <c r="AB688" s="1364"/>
      <c r="AC688" s="1364"/>
      <c r="AD688" s="1364"/>
      <c r="AE688" s="1364"/>
      <c r="AF688" s="1364"/>
      <c r="AG688" s="1364"/>
      <c r="AH688" s="1364"/>
      <c r="AI688" s="1364"/>
      <c r="AJ688" s="1364"/>
      <c r="AK688" s="1364"/>
      <c r="AZ688" s="3"/>
      <c r="BA688" s="118">
        <f t="shared" si="48"/>
        <v>3852</v>
      </c>
      <c r="BB688" s="3"/>
      <c r="BF688" s="218"/>
      <c r="BG688" s="316">
        <f t="shared" si="49"/>
        <v>2</v>
      </c>
      <c r="BH688" s="319">
        <f t="shared" si="50"/>
        <v>1.2195121951219513E-2</v>
      </c>
      <c r="BI688" s="320">
        <f t="shared" si="51"/>
        <v>6.0975609756097563E-3</v>
      </c>
      <c r="BL688" s="3"/>
      <c r="BM688" s="3"/>
      <c r="BN688" s="3"/>
      <c r="BO688" s="3"/>
      <c r="BT688" s="316">
        <f t="shared" si="52"/>
        <v>2</v>
      </c>
      <c r="BU688" s="319">
        <f t="shared" si="53"/>
        <v>1.2195121951219513E-2</v>
      </c>
      <c r="BV688" s="320">
        <f t="shared" si="54"/>
        <v>6.0975609756097563E-3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20</v>
      </c>
      <c r="N689" s="1374" t="s">
        <v>677</v>
      </c>
      <c r="O689" s="1374"/>
      <c r="U689" t="s">
        <v>20</v>
      </c>
      <c r="AG689" s="1374" t="s">
        <v>677</v>
      </c>
      <c r="AH689" s="1374"/>
      <c r="AZ689" s="3"/>
      <c r="BA689" s="118">
        <f t="shared" si="48"/>
        <v>3852</v>
      </c>
      <c r="BB689" s="3"/>
      <c r="BF689" s="218"/>
      <c r="BG689" s="316">
        <f t="shared" si="49"/>
        <v>2</v>
      </c>
      <c r="BH689" s="319">
        <f t="shared" si="50"/>
        <v>1.2195121951219513E-2</v>
      </c>
      <c r="BI689" s="320">
        <f t="shared" si="51"/>
        <v>7.3170731707317069E-3</v>
      </c>
      <c r="BL689" s="3"/>
      <c r="BM689" s="3"/>
      <c r="BN689" s="3"/>
      <c r="BO689" s="3"/>
      <c r="BT689" s="316">
        <f t="shared" si="52"/>
        <v>2</v>
      </c>
      <c r="BU689" s="319">
        <f t="shared" si="53"/>
        <v>1.2195121951219513E-2</v>
      </c>
      <c r="BV689" s="320">
        <f t="shared" si="54"/>
        <v>7.3164399868297751E-3</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118" t="str">
        <f t="shared" si="48"/>
        <v>N/A</v>
      </c>
      <c r="BB690" s="3"/>
      <c r="BF690" s="218"/>
      <c r="BG690" s="316">
        <f t="shared" si="49"/>
        <v>10</v>
      </c>
      <c r="BH690" s="319">
        <f t="shared" si="50"/>
        <v>6.097560975609756E-2</v>
      </c>
      <c r="BI690" s="320">
        <f t="shared" si="51"/>
        <v>4.2682926829268289E-2</v>
      </c>
      <c r="BL690" s="3"/>
      <c r="BM690" s="3"/>
      <c r="BN690" s="3"/>
      <c r="BO690" s="3"/>
      <c r="BT690" s="316">
        <f t="shared" si="52"/>
        <v>10</v>
      </c>
      <c r="BU690" s="319">
        <f t="shared" si="53"/>
        <v>6.097560975609756E-2</v>
      </c>
      <c r="BV690" s="320">
        <f t="shared" si="54"/>
        <v>4.2676594990248964E-2</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35"/>
      <c r="C693" s="135"/>
      <c r="E693" s="136" t="s">
        <v>437</v>
      </c>
      <c r="F693" s="135"/>
      <c r="G693" s="135"/>
      <c r="H693" s="135"/>
      <c r="AE693" s="1374" t="s">
        <v>553</v>
      </c>
      <c r="AF693" s="1374"/>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35"/>
      <c r="C694" s="135"/>
      <c r="D694" s="136" t="s">
        <v>440</v>
      </c>
      <c r="E694" s="135"/>
      <c r="F694" s="135"/>
      <c r="G694" s="135"/>
      <c r="H694" s="135"/>
      <c r="AE694" s="1374" t="s">
        <v>553</v>
      </c>
      <c r="AF694" s="1374"/>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35"/>
      <c r="C695" s="135"/>
      <c r="D695" s="136" t="s">
        <v>939</v>
      </c>
      <c r="E695" s="135"/>
      <c r="F695" s="135"/>
      <c r="G695" s="135"/>
      <c r="H695" s="135"/>
      <c r="AE695" s="1521">
        <v>45405</v>
      </c>
      <c r="AF695" s="1521"/>
      <c r="AG695" s="1521"/>
      <c r="AH695" s="1521"/>
      <c r="AI695" s="1521"/>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35"/>
      <c r="C696" s="135"/>
      <c r="D696" s="343" t="s">
        <v>1002</v>
      </c>
      <c r="E696" s="135"/>
      <c r="F696" s="135"/>
      <c r="G696" s="135"/>
      <c r="H696" s="135"/>
      <c r="AE696" s="1601">
        <v>45511</v>
      </c>
      <c r="AF696" s="1601"/>
      <c r="AG696" s="1601"/>
      <c r="AH696" s="1601"/>
      <c r="AI696" s="160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35"/>
      <c r="C698" s="135"/>
      <c r="D698" s="136" t="s">
        <v>825</v>
      </c>
      <c r="E698" s="135"/>
      <c r="F698" s="135"/>
      <c r="G698" s="135"/>
      <c r="H698" s="135"/>
      <c r="AE698" s="1521">
        <v>45596</v>
      </c>
      <c r="AF698" s="1521"/>
      <c r="AG698" s="1521"/>
      <c r="AH698" s="1521"/>
      <c r="AI698" s="1521"/>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35"/>
      <c r="C699" s="135"/>
      <c r="D699" s="136" t="s">
        <v>438</v>
      </c>
      <c r="E699" s="135"/>
      <c r="F699" s="135"/>
      <c r="G699" s="135"/>
      <c r="H699" s="135"/>
      <c r="AE699" s="1576">
        <v>0.51500000000000001</v>
      </c>
      <c r="AF699" s="1576"/>
      <c r="AG699" s="1576"/>
      <c r="AH699" s="1576"/>
      <c r="AI699" s="1576"/>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35"/>
      <c r="C700" s="135"/>
      <c r="D700" s="136" t="s">
        <v>439</v>
      </c>
      <c r="E700" s="135"/>
      <c r="F700" s="135"/>
      <c r="G700" s="135"/>
      <c r="H700" s="135"/>
      <c r="W700" s="1375" t="str">
        <f>H335</f>
        <v>California Public Finance Authority</v>
      </c>
      <c r="X700" s="1375"/>
      <c r="Y700" s="1375"/>
      <c r="Z700" s="1375"/>
      <c r="AA700" s="1375"/>
      <c r="AB700" s="1375"/>
      <c r="AC700" s="1375"/>
      <c r="AD700" s="1375"/>
      <c r="AE700" s="1375"/>
      <c r="AF700" s="1375"/>
      <c r="AG700" s="1375"/>
      <c r="AH700" s="1375"/>
      <c r="AI700" s="1375"/>
      <c r="AJ700" s="1375"/>
      <c r="AK700" s="1375"/>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35"/>
      <c r="C702" s="135"/>
      <c r="D702" s="136" t="s">
        <v>441</v>
      </c>
      <c r="E702" s="135"/>
      <c r="F702" s="135"/>
      <c r="G702" s="135"/>
      <c r="H702" s="135"/>
      <c r="AE702" s="1374" t="s">
        <v>677</v>
      </c>
      <c r="AF702" s="1374"/>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35"/>
      <c r="C703" s="135"/>
      <c r="D703" s="136" t="s">
        <v>444</v>
      </c>
      <c r="E703" s="135"/>
      <c r="F703" s="135"/>
      <c r="G703" s="135"/>
      <c r="H703" s="135"/>
      <c r="W703" s="1364"/>
      <c r="X703" s="1364"/>
      <c r="Y703" s="1364"/>
      <c r="Z703" s="1364"/>
      <c r="AA703" s="1364"/>
      <c r="AB703" s="1364"/>
      <c r="AC703" s="1364"/>
      <c r="AD703" s="1364"/>
      <c r="AE703" s="1364"/>
      <c r="AF703" s="1364"/>
      <c r="AG703" s="1364"/>
      <c r="AH703" s="1364"/>
      <c r="AI703" s="1364"/>
      <c r="AJ703" s="1364"/>
      <c r="AK703" s="1364"/>
      <c r="AZ703" s="34"/>
      <c r="BA703" s="34"/>
      <c r="BB703" s="34"/>
      <c r="BC703" s="34"/>
      <c r="BD703" s="34"/>
      <c r="BE703" s="3"/>
      <c r="BF703" s="312" t="s">
        <v>914</v>
      </c>
      <c r="BG703" s="321">
        <f>SUM(BG668:BG702)</f>
        <v>164</v>
      </c>
      <c r="BH703" s="322">
        <f>SUM(BH668:BH702)</f>
        <v>1.0000000000000002</v>
      </c>
      <c r="BI703" s="322">
        <f>SUM(BI668:BI702)</f>
        <v>0.59024390243902447</v>
      </c>
      <c r="BN703" s="3"/>
      <c r="BO703" s="3"/>
      <c r="BT703" s="893">
        <f>SUM(BT668:BT702)</f>
        <v>164</v>
      </c>
      <c r="BU703" s="322">
        <f>SUM(BU668:BU702)</f>
        <v>1.0000000000000002</v>
      </c>
      <c r="BV703" s="322">
        <f>SUM(BV668:BV702)</f>
        <v>0.59028336344295218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35"/>
      <c r="C704" s="135"/>
      <c r="D704" s="136" t="s">
        <v>87</v>
      </c>
      <c r="E704" s="135"/>
      <c r="F704" s="135"/>
      <c r="G704" s="135"/>
      <c r="H704" s="135"/>
      <c r="J704" s="1364"/>
      <c r="K704" s="1364"/>
      <c r="L704" s="1364"/>
      <c r="M704" s="1364"/>
      <c r="N704" s="1364"/>
      <c r="O704" s="1364"/>
      <c r="P704" s="1364"/>
      <c r="Q704" s="1364"/>
      <c r="R704" s="1364"/>
      <c r="S704" s="1364"/>
      <c r="T704" s="1364"/>
      <c r="U704" s="1364"/>
      <c r="V704" s="1364"/>
      <c r="W704" s="1364"/>
      <c r="X704" s="136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35"/>
      <c r="C705" s="135"/>
      <c r="D705" s="136" t="s">
        <v>88</v>
      </c>
      <c r="J705" s="1396"/>
      <c r="K705" s="1396"/>
      <c r="L705" s="1396"/>
      <c r="M705" s="1396"/>
      <c r="N705" s="1396"/>
      <c r="O705" s="1396"/>
      <c r="P705" s="4" t="s">
        <v>207</v>
      </c>
      <c r="Q705" s="4"/>
      <c r="R705" s="1377"/>
      <c r="S705" s="1377"/>
      <c r="T705" s="137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35"/>
      <c r="C706" s="135"/>
      <c r="D706" s="136" t="s">
        <v>445</v>
      </c>
      <c r="W706" s="1364" t="s">
        <v>308</v>
      </c>
      <c r="X706" s="1364"/>
      <c r="Y706" s="1364"/>
      <c r="Z706" s="1364"/>
      <c r="AA706" s="1364"/>
      <c r="AB706" s="1364"/>
      <c r="AC706" s="1364"/>
      <c r="AD706" s="1364"/>
      <c r="AE706" s="1364"/>
      <c r="AF706" s="1364"/>
      <c r="AG706" s="1364"/>
      <c r="AH706" s="1364"/>
      <c r="AI706" s="1364"/>
      <c r="AJ706" s="1364"/>
      <c r="AK706" s="136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35"/>
      <c r="C707" s="135"/>
      <c r="D707" s="136"/>
      <c r="E707" s="1364" t="s">
        <v>335</v>
      </c>
      <c r="F707" s="1364"/>
      <c r="G707" s="1364"/>
      <c r="H707" s="1364"/>
      <c r="I707" s="1364"/>
      <c r="J707" s="1364"/>
      <c r="K707" s="1364"/>
      <c r="L707" s="1364"/>
      <c r="M707" s="1364"/>
      <c r="N707" s="1364"/>
      <c r="O707" s="1364"/>
      <c r="P707" s="1364"/>
      <c r="Q707" s="1364"/>
      <c r="R707" s="1364"/>
      <c r="S707" s="1364"/>
      <c r="T707" s="1364"/>
      <c r="U707" s="1364"/>
      <c r="V707" s="1364"/>
      <c r="W707" s="1364"/>
      <c r="X707" s="1364"/>
      <c r="Y707" s="1364"/>
      <c r="Z707" s="1364"/>
      <c r="AA707" s="1364"/>
      <c r="AB707" s="1364"/>
      <c r="AC707" s="1364"/>
      <c r="AD707" s="1364"/>
      <c r="AE707" s="1364"/>
      <c r="AF707" s="1364"/>
      <c r="AG707" s="1364"/>
      <c r="AH707" s="1364"/>
      <c r="AI707" s="1364"/>
      <c r="AJ707" s="1364"/>
      <c r="AK707" s="136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97" t="s">
        <v>390</v>
      </c>
      <c r="C714" s="1382"/>
      <c r="D714" s="1382"/>
      <c r="E714" s="1382"/>
      <c r="F714" s="1383"/>
      <c r="G714" s="1397" t="s">
        <v>286</v>
      </c>
      <c r="H714" s="1382"/>
      <c r="I714" s="1382"/>
      <c r="J714" s="1383"/>
      <c r="K714" s="1408" t="s">
        <v>1865</v>
      </c>
      <c r="L714" s="1409"/>
      <c r="M714" s="1409"/>
      <c r="N714" s="1410"/>
      <c r="O714" s="1397" t="s">
        <v>455</v>
      </c>
      <c r="P714" s="1382"/>
      <c r="Q714" s="1382"/>
      <c r="R714" s="1382"/>
      <c r="S714" s="1383"/>
      <c r="T714" s="1381" t="s">
        <v>2249</v>
      </c>
      <c r="U714" s="1382"/>
      <c r="V714" s="1382"/>
      <c r="W714" s="1383"/>
      <c r="X714" s="1381" t="s">
        <v>2251</v>
      </c>
      <c r="Y714" s="1382"/>
      <c r="Z714" s="1382"/>
      <c r="AA714" s="1382"/>
      <c r="AB714" s="1383"/>
      <c r="AC714" s="1381" t="s">
        <v>2250</v>
      </c>
      <c r="AD714" s="1382"/>
      <c r="AE714" s="1382"/>
      <c r="AF714" s="1382"/>
      <c r="AG714" s="1383"/>
      <c r="AH714" s="1381" t="s">
        <v>2252</v>
      </c>
      <c r="AI714" s="1382"/>
      <c r="AJ714" s="1383"/>
      <c r="AK714" s="1381" t="s">
        <v>2286</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84"/>
      <c r="C715" s="1385"/>
      <c r="D715" s="1385"/>
      <c r="E715" s="1385"/>
      <c r="F715" s="1386"/>
      <c r="G715" s="1384"/>
      <c r="H715" s="1385"/>
      <c r="I715" s="1385"/>
      <c r="J715" s="1386"/>
      <c r="K715" s="1411"/>
      <c r="L715" s="1412"/>
      <c r="M715" s="1412"/>
      <c r="N715" s="1413"/>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84"/>
      <c r="C716" s="1385"/>
      <c r="D716" s="1385"/>
      <c r="E716" s="1385"/>
      <c r="F716" s="1386"/>
      <c r="G716" s="1384"/>
      <c r="H716" s="1385"/>
      <c r="I716" s="1385"/>
      <c r="J716" s="1386"/>
      <c r="K716" s="1411"/>
      <c r="L716" s="1412"/>
      <c r="M716" s="1412"/>
      <c r="N716" s="1413"/>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4"/>
      <c r="B717" s="1387"/>
      <c r="C717" s="1388"/>
      <c r="D717" s="1388"/>
      <c r="E717" s="1388"/>
      <c r="F717" s="1389"/>
      <c r="G717" s="1387"/>
      <c r="H717" s="1388"/>
      <c r="I717" s="1388"/>
      <c r="J717" s="1389"/>
      <c r="K717" s="1411"/>
      <c r="L717" s="1412"/>
      <c r="M717" s="1412"/>
      <c r="N717" s="1413"/>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4"/>
      <c r="B718" s="1365" t="s">
        <v>326</v>
      </c>
      <c r="C718" s="1366"/>
      <c r="D718" s="1366"/>
      <c r="E718" s="1366"/>
      <c r="F718" s="1367"/>
      <c r="G718" s="1393">
        <v>2</v>
      </c>
      <c r="H718" s="1394"/>
      <c r="I718" s="1394"/>
      <c r="J718" s="1395"/>
      <c r="K718" s="1390">
        <v>656</v>
      </c>
      <c r="L718" s="1391"/>
      <c r="M718" s="1391"/>
      <c r="N718" s="1392"/>
      <c r="O718" s="1355">
        <v>678</v>
      </c>
      <c r="P718" s="1356"/>
      <c r="Q718" s="1356"/>
      <c r="R718" s="1356"/>
      <c r="S718" s="1357"/>
      <c r="T718" s="1355">
        <v>69</v>
      </c>
      <c r="U718" s="1356"/>
      <c r="V718" s="1356"/>
      <c r="W718" s="1357"/>
      <c r="X718" s="1378">
        <f t="shared" ref="X718:X741" si="59">O718+T718</f>
        <v>747</v>
      </c>
      <c r="Y718" s="1379"/>
      <c r="Z718" s="1379"/>
      <c r="AA718" s="1379"/>
      <c r="AB718" s="1380"/>
      <c r="AC718" s="1371">
        <v>0.3</v>
      </c>
      <c r="AD718" s="1372"/>
      <c r="AE718" s="1372"/>
      <c r="AF718" s="1372"/>
      <c r="AG718" s="1373"/>
      <c r="AH718" s="1368">
        <f t="shared" ref="AH718:AH751" si="60">IF($AC718&gt;0,($X718/$BA667), "")</f>
        <v>0.3</v>
      </c>
      <c r="AI718" s="1369"/>
      <c r="AJ718" s="1370"/>
      <c r="AK718" s="1365" t="s">
        <v>599</v>
      </c>
      <c r="AL718" s="1366"/>
      <c r="AM718" s="1366"/>
      <c r="AN718" s="1366"/>
      <c r="AO718" s="136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4"/>
      <c r="B719" s="1365" t="s">
        <v>326</v>
      </c>
      <c r="C719" s="1366"/>
      <c r="D719" s="1366"/>
      <c r="E719" s="1366"/>
      <c r="F719" s="1367"/>
      <c r="G719" s="1393">
        <v>4</v>
      </c>
      <c r="H719" s="1394"/>
      <c r="I719" s="1394"/>
      <c r="J719" s="1395"/>
      <c r="K719" s="1390">
        <v>656</v>
      </c>
      <c r="L719" s="1391"/>
      <c r="M719" s="1391"/>
      <c r="N719" s="1392"/>
      <c r="O719" s="1355">
        <v>678</v>
      </c>
      <c r="P719" s="1356"/>
      <c r="Q719" s="1356"/>
      <c r="R719" s="1356"/>
      <c r="S719" s="1357"/>
      <c r="T719" s="1355">
        <v>69</v>
      </c>
      <c r="U719" s="1356"/>
      <c r="V719" s="1356"/>
      <c r="W719" s="1357"/>
      <c r="X719" s="1378">
        <f t="shared" si="59"/>
        <v>747</v>
      </c>
      <c r="Y719" s="1379"/>
      <c r="Z719" s="1379"/>
      <c r="AA719" s="1379"/>
      <c r="AB719" s="1380"/>
      <c r="AC719" s="1371">
        <v>0.3</v>
      </c>
      <c r="AD719" s="1372"/>
      <c r="AE719" s="1372"/>
      <c r="AF719" s="1372"/>
      <c r="AG719" s="1373"/>
      <c r="AH719" s="1368">
        <f t="shared" si="60"/>
        <v>0.3</v>
      </c>
      <c r="AI719" s="1369"/>
      <c r="AJ719" s="1370"/>
      <c r="AK719" s="1365" t="s">
        <v>599</v>
      </c>
      <c r="AL719" s="1366"/>
      <c r="AM719" s="1366"/>
      <c r="AN719" s="1366"/>
      <c r="AO719" s="136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4"/>
      <c r="B720" s="1365" t="s">
        <v>326</v>
      </c>
      <c r="C720" s="1366"/>
      <c r="D720" s="1366"/>
      <c r="E720" s="1366"/>
      <c r="F720" s="1367"/>
      <c r="G720" s="1393">
        <v>6</v>
      </c>
      <c r="H720" s="1394"/>
      <c r="I720" s="1394"/>
      <c r="J720" s="1395"/>
      <c r="K720" s="1390">
        <v>656</v>
      </c>
      <c r="L720" s="1391"/>
      <c r="M720" s="1391"/>
      <c r="N720" s="1392"/>
      <c r="O720" s="1355">
        <v>927</v>
      </c>
      <c r="P720" s="1356"/>
      <c r="Q720" s="1356"/>
      <c r="R720" s="1356"/>
      <c r="S720" s="1357"/>
      <c r="T720" s="1355">
        <v>69</v>
      </c>
      <c r="U720" s="1356"/>
      <c r="V720" s="1356"/>
      <c r="W720" s="1357"/>
      <c r="X720" s="1378">
        <f t="shared" si="59"/>
        <v>996</v>
      </c>
      <c r="Y720" s="1379"/>
      <c r="Z720" s="1379"/>
      <c r="AA720" s="1379"/>
      <c r="AB720" s="1380"/>
      <c r="AC720" s="1371">
        <v>0.4</v>
      </c>
      <c r="AD720" s="1372"/>
      <c r="AE720" s="1372"/>
      <c r="AF720" s="1372"/>
      <c r="AG720" s="1373"/>
      <c r="AH720" s="1368">
        <f t="shared" si="60"/>
        <v>0.4</v>
      </c>
      <c r="AI720" s="1369"/>
      <c r="AJ720" s="1370"/>
      <c r="AK720" s="1365" t="s">
        <v>599</v>
      </c>
      <c r="AL720" s="1366"/>
      <c r="AM720" s="1366"/>
      <c r="AN720" s="1366"/>
      <c r="AO720" s="136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65" t="s">
        <v>326</v>
      </c>
      <c r="C721" s="1366"/>
      <c r="D721" s="1366"/>
      <c r="E721" s="1366"/>
      <c r="F721" s="1367"/>
      <c r="G721" s="1393">
        <v>6</v>
      </c>
      <c r="H721" s="1394"/>
      <c r="I721" s="1394"/>
      <c r="J721" s="1395"/>
      <c r="K721" s="1390">
        <v>656</v>
      </c>
      <c r="L721" s="1391"/>
      <c r="M721" s="1391"/>
      <c r="N721" s="1392"/>
      <c r="O721" s="1355">
        <v>1176</v>
      </c>
      <c r="P721" s="1356"/>
      <c r="Q721" s="1356"/>
      <c r="R721" s="1356"/>
      <c r="S721" s="1357"/>
      <c r="T721" s="1355">
        <v>69</v>
      </c>
      <c r="U721" s="1356"/>
      <c r="V721" s="1356"/>
      <c r="W721" s="1357"/>
      <c r="X721" s="1378">
        <f t="shared" si="59"/>
        <v>1245</v>
      </c>
      <c r="Y721" s="1379"/>
      <c r="Z721" s="1379"/>
      <c r="AA721" s="1379"/>
      <c r="AB721" s="1380"/>
      <c r="AC721" s="1371">
        <v>0.5</v>
      </c>
      <c r="AD721" s="1372"/>
      <c r="AE721" s="1372"/>
      <c r="AF721" s="1372"/>
      <c r="AG721" s="1373"/>
      <c r="AH721" s="1368">
        <f t="shared" si="60"/>
        <v>0.5</v>
      </c>
      <c r="AI721" s="1369"/>
      <c r="AJ721" s="1370"/>
      <c r="AK721" s="1365" t="s">
        <v>599</v>
      </c>
      <c r="AL721" s="1366"/>
      <c r="AM721" s="1366"/>
      <c r="AN721" s="1366"/>
      <c r="AO721" s="136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65" t="s">
        <v>326</v>
      </c>
      <c r="C722" s="1366"/>
      <c r="D722" s="1366"/>
      <c r="E722" s="1366"/>
      <c r="F722" s="1367"/>
      <c r="G722" s="1393">
        <v>6</v>
      </c>
      <c r="H722" s="1394"/>
      <c r="I722" s="1394"/>
      <c r="J722" s="1395"/>
      <c r="K722" s="1390">
        <v>656</v>
      </c>
      <c r="L722" s="1391"/>
      <c r="M722" s="1391"/>
      <c r="N722" s="1392"/>
      <c r="O722" s="1355">
        <v>1425</v>
      </c>
      <c r="P722" s="1356"/>
      <c r="Q722" s="1356"/>
      <c r="R722" s="1356"/>
      <c r="S722" s="1357"/>
      <c r="T722" s="1355">
        <v>69</v>
      </c>
      <c r="U722" s="1356"/>
      <c r="V722" s="1356"/>
      <c r="W722" s="1357"/>
      <c r="X722" s="1378">
        <f t="shared" si="59"/>
        <v>1494</v>
      </c>
      <c r="Y722" s="1379"/>
      <c r="Z722" s="1379"/>
      <c r="AA722" s="1379"/>
      <c r="AB722" s="1380"/>
      <c r="AC722" s="1371">
        <v>0.6</v>
      </c>
      <c r="AD722" s="1372"/>
      <c r="AE722" s="1372"/>
      <c r="AF722" s="1372"/>
      <c r="AG722" s="1373"/>
      <c r="AH722" s="1368">
        <f t="shared" si="60"/>
        <v>0.6</v>
      </c>
      <c r="AI722" s="1369"/>
      <c r="AJ722" s="1370"/>
      <c r="AK722" s="1365" t="s">
        <v>599</v>
      </c>
      <c r="AL722" s="1366"/>
      <c r="AM722" s="1366"/>
      <c r="AN722" s="1366"/>
      <c r="AO722" s="136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B723" s="1365" t="s">
        <v>326</v>
      </c>
      <c r="C723" s="1366"/>
      <c r="D723" s="1366"/>
      <c r="E723" s="1366"/>
      <c r="F723" s="1367"/>
      <c r="G723" s="1393">
        <v>36</v>
      </c>
      <c r="H723" s="1394"/>
      <c r="I723" s="1394"/>
      <c r="J723" s="1395"/>
      <c r="K723" s="1390">
        <v>656</v>
      </c>
      <c r="L723" s="1391"/>
      <c r="M723" s="1391"/>
      <c r="N723" s="1392"/>
      <c r="O723" s="1355">
        <v>1674</v>
      </c>
      <c r="P723" s="1356"/>
      <c r="Q723" s="1356"/>
      <c r="R723" s="1356"/>
      <c r="S723" s="1357"/>
      <c r="T723" s="1355">
        <v>69</v>
      </c>
      <c r="U723" s="1356"/>
      <c r="V723" s="1356"/>
      <c r="W723" s="1357"/>
      <c r="X723" s="1378">
        <f t="shared" si="59"/>
        <v>1743</v>
      </c>
      <c r="Y723" s="1379"/>
      <c r="Z723" s="1379"/>
      <c r="AA723" s="1379"/>
      <c r="AB723" s="1380"/>
      <c r="AC723" s="1371">
        <v>0.7</v>
      </c>
      <c r="AD723" s="1372"/>
      <c r="AE723" s="1372"/>
      <c r="AF723" s="1372"/>
      <c r="AG723" s="1373"/>
      <c r="AH723" s="1368">
        <f t="shared" si="60"/>
        <v>0.7</v>
      </c>
      <c r="AI723" s="1369"/>
      <c r="AJ723" s="1370"/>
      <c r="AK723" s="1365" t="s">
        <v>599</v>
      </c>
      <c r="AL723" s="1366"/>
      <c r="AM723" s="1366"/>
      <c r="AN723" s="1366"/>
      <c r="AO723" s="136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B724" s="1365" t="s">
        <v>163</v>
      </c>
      <c r="C724" s="1366"/>
      <c r="D724" s="1366"/>
      <c r="E724" s="1366"/>
      <c r="F724" s="1367"/>
      <c r="G724" s="1393">
        <v>2</v>
      </c>
      <c r="H724" s="1394"/>
      <c r="I724" s="1394"/>
      <c r="J724" s="1395"/>
      <c r="K724" s="1390">
        <v>883</v>
      </c>
      <c r="L724" s="1391"/>
      <c r="M724" s="1391"/>
      <c r="N724" s="1392"/>
      <c r="O724" s="1355">
        <v>801</v>
      </c>
      <c r="P724" s="1356"/>
      <c r="Q724" s="1356"/>
      <c r="R724" s="1356"/>
      <c r="S724" s="1357"/>
      <c r="T724" s="1355">
        <v>96</v>
      </c>
      <c r="U724" s="1356"/>
      <c r="V724" s="1356"/>
      <c r="W724" s="1357"/>
      <c r="X724" s="1378">
        <f t="shared" si="59"/>
        <v>897</v>
      </c>
      <c r="Y724" s="1379"/>
      <c r="Z724" s="1379"/>
      <c r="AA724" s="1379"/>
      <c r="AB724" s="1380"/>
      <c r="AC724" s="1371">
        <v>0.3</v>
      </c>
      <c r="AD724" s="1372"/>
      <c r="AE724" s="1372"/>
      <c r="AF724" s="1372"/>
      <c r="AG724" s="1373"/>
      <c r="AH724" s="1368">
        <f t="shared" si="60"/>
        <v>0.3</v>
      </c>
      <c r="AI724" s="1369"/>
      <c r="AJ724" s="1370"/>
      <c r="AK724" s="1365" t="s">
        <v>599</v>
      </c>
      <c r="AL724" s="1366"/>
      <c r="AM724" s="1366"/>
      <c r="AN724" s="1366"/>
      <c r="AO724" s="136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B725" s="1365" t="s">
        <v>163</v>
      </c>
      <c r="C725" s="1366"/>
      <c r="D725" s="1366"/>
      <c r="E725" s="1366"/>
      <c r="F725" s="1367"/>
      <c r="G725" s="1393">
        <v>2</v>
      </c>
      <c r="H725" s="1394"/>
      <c r="I725" s="1394"/>
      <c r="J725" s="1395"/>
      <c r="K725" s="1390">
        <v>883</v>
      </c>
      <c r="L725" s="1391"/>
      <c r="M725" s="1391"/>
      <c r="N725" s="1392"/>
      <c r="O725" s="1355">
        <v>801</v>
      </c>
      <c r="P725" s="1356"/>
      <c r="Q725" s="1356"/>
      <c r="R725" s="1356"/>
      <c r="S725" s="1357"/>
      <c r="T725" s="1355">
        <v>96</v>
      </c>
      <c r="U725" s="1356"/>
      <c r="V725" s="1356"/>
      <c r="W725" s="1357"/>
      <c r="X725" s="1378">
        <f t="shared" si="59"/>
        <v>897</v>
      </c>
      <c r="Y725" s="1379"/>
      <c r="Z725" s="1379"/>
      <c r="AA725" s="1379"/>
      <c r="AB725" s="1380"/>
      <c r="AC725" s="1371">
        <v>0.3</v>
      </c>
      <c r="AD725" s="1372"/>
      <c r="AE725" s="1372"/>
      <c r="AF725" s="1372"/>
      <c r="AG725" s="1373"/>
      <c r="AH725" s="1368">
        <f t="shared" si="60"/>
        <v>0.3</v>
      </c>
      <c r="AI725" s="1369"/>
      <c r="AJ725" s="1370"/>
      <c r="AK725" s="1365" t="s">
        <v>599</v>
      </c>
      <c r="AL725" s="1366"/>
      <c r="AM725" s="1366"/>
      <c r="AN725" s="1366"/>
      <c r="AO725" s="136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65" t="s">
        <v>163</v>
      </c>
      <c r="C726" s="1366"/>
      <c r="D726" s="1366"/>
      <c r="E726" s="1366"/>
      <c r="F726" s="1367"/>
      <c r="G726" s="1393">
        <v>4</v>
      </c>
      <c r="H726" s="1394"/>
      <c r="I726" s="1394"/>
      <c r="J726" s="1395"/>
      <c r="K726" s="1390">
        <v>883</v>
      </c>
      <c r="L726" s="1391"/>
      <c r="M726" s="1391"/>
      <c r="N726" s="1392"/>
      <c r="O726" s="1355">
        <v>1100</v>
      </c>
      <c r="P726" s="1356"/>
      <c r="Q726" s="1356"/>
      <c r="R726" s="1356"/>
      <c r="S726" s="1357"/>
      <c r="T726" s="1355">
        <v>96</v>
      </c>
      <c r="U726" s="1356"/>
      <c r="V726" s="1356"/>
      <c r="W726" s="1357"/>
      <c r="X726" s="1378">
        <f t="shared" si="59"/>
        <v>1196</v>
      </c>
      <c r="Y726" s="1379"/>
      <c r="Z726" s="1379"/>
      <c r="AA726" s="1379"/>
      <c r="AB726" s="1380"/>
      <c r="AC726" s="1371">
        <v>0.4</v>
      </c>
      <c r="AD726" s="1372"/>
      <c r="AE726" s="1372"/>
      <c r="AF726" s="1372"/>
      <c r="AG726" s="1373"/>
      <c r="AH726" s="1368">
        <f t="shared" si="60"/>
        <v>0.4</v>
      </c>
      <c r="AI726" s="1369"/>
      <c r="AJ726" s="1370"/>
      <c r="AK726" s="1365" t="s">
        <v>599</v>
      </c>
      <c r="AL726" s="1366"/>
      <c r="AM726" s="1366"/>
      <c r="AN726" s="1366"/>
      <c r="AO726" s="136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A727" s="4"/>
      <c r="B727" s="1365" t="s">
        <v>163</v>
      </c>
      <c r="C727" s="1366"/>
      <c r="D727" s="1366"/>
      <c r="E727" s="1366"/>
      <c r="F727" s="1367"/>
      <c r="G727" s="1393">
        <v>4</v>
      </c>
      <c r="H727" s="1394"/>
      <c r="I727" s="1394"/>
      <c r="J727" s="1395"/>
      <c r="K727" s="1390">
        <v>883</v>
      </c>
      <c r="L727" s="1391"/>
      <c r="M727" s="1391"/>
      <c r="N727" s="1392"/>
      <c r="O727" s="1355">
        <v>1399</v>
      </c>
      <c r="P727" s="1356"/>
      <c r="Q727" s="1356"/>
      <c r="R727" s="1356"/>
      <c r="S727" s="1357"/>
      <c r="T727" s="1355">
        <v>96</v>
      </c>
      <c r="U727" s="1356"/>
      <c r="V727" s="1356"/>
      <c r="W727" s="1357"/>
      <c r="X727" s="1378">
        <f t="shared" si="59"/>
        <v>1495</v>
      </c>
      <c r="Y727" s="1379"/>
      <c r="Z727" s="1379"/>
      <c r="AA727" s="1379"/>
      <c r="AB727" s="1380"/>
      <c r="AC727" s="1371">
        <v>0.5</v>
      </c>
      <c r="AD727" s="1372"/>
      <c r="AE727" s="1372"/>
      <c r="AF727" s="1372"/>
      <c r="AG727" s="1373"/>
      <c r="AH727" s="1368">
        <f t="shared" si="60"/>
        <v>0.5</v>
      </c>
      <c r="AI727" s="1369"/>
      <c r="AJ727" s="1370"/>
      <c r="AK727" s="1365" t="s">
        <v>599</v>
      </c>
      <c r="AL727" s="1366"/>
      <c r="AM727" s="1366"/>
      <c r="AN727" s="1366"/>
      <c r="AO727" s="136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A728" s="4"/>
      <c r="B728" s="1365" t="s">
        <v>163</v>
      </c>
      <c r="C728" s="1366"/>
      <c r="D728" s="1366"/>
      <c r="E728" s="1366"/>
      <c r="F728" s="1367"/>
      <c r="G728" s="1393">
        <v>4</v>
      </c>
      <c r="H728" s="1394"/>
      <c r="I728" s="1394"/>
      <c r="J728" s="1395"/>
      <c r="K728" s="1390">
        <v>883</v>
      </c>
      <c r="L728" s="1391"/>
      <c r="M728" s="1391"/>
      <c r="N728" s="1392"/>
      <c r="O728" s="1355">
        <v>1698</v>
      </c>
      <c r="P728" s="1356"/>
      <c r="Q728" s="1356"/>
      <c r="R728" s="1356"/>
      <c r="S728" s="1357"/>
      <c r="T728" s="1355">
        <v>96</v>
      </c>
      <c r="U728" s="1356"/>
      <c r="V728" s="1356"/>
      <c r="W728" s="1357"/>
      <c r="X728" s="1378">
        <f t="shared" si="59"/>
        <v>1794</v>
      </c>
      <c r="Y728" s="1379"/>
      <c r="Z728" s="1379"/>
      <c r="AA728" s="1379"/>
      <c r="AB728" s="1380"/>
      <c r="AC728" s="1371">
        <v>0.6</v>
      </c>
      <c r="AD728" s="1372"/>
      <c r="AE728" s="1372"/>
      <c r="AF728" s="1372"/>
      <c r="AG728" s="1373"/>
      <c r="AH728" s="1368">
        <f t="shared" si="60"/>
        <v>0.6</v>
      </c>
      <c r="AI728" s="1369"/>
      <c r="AJ728" s="1370"/>
      <c r="AK728" s="1365" t="s">
        <v>599</v>
      </c>
      <c r="AL728" s="1366"/>
      <c r="AM728" s="1366"/>
      <c r="AN728" s="1366"/>
      <c r="AO728" s="136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A729" s="4"/>
      <c r="B729" s="1365" t="s">
        <v>163</v>
      </c>
      <c r="C729" s="1366"/>
      <c r="D729" s="1366"/>
      <c r="E729" s="1366"/>
      <c r="F729" s="1367"/>
      <c r="G729" s="1393">
        <v>15</v>
      </c>
      <c r="H729" s="1394"/>
      <c r="I729" s="1394"/>
      <c r="J729" s="1395"/>
      <c r="K729" s="1390">
        <v>883</v>
      </c>
      <c r="L729" s="1391"/>
      <c r="M729" s="1391"/>
      <c r="N729" s="1392"/>
      <c r="O729" s="1355">
        <v>1997</v>
      </c>
      <c r="P729" s="1356"/>
      <c r="Q729" s="1356"/>
      <c r="R729" s="1356"/>
      <c r="S729" s="1357"/>
      <c r="T729" s="1355">
        <v>96</v>
      </c>
      <c r="U729" s="1356"/>
      <c r="V729" s="1356"/>
      <c r="W729" s="1357"/>
      <c r="X729" s="1378">
        <f t="shared" si="59"/>
        <v>2093</v>
      </c>
      <c r="Y729" s="1379"/>
      <c r="Z729" s="1379"/>
      <c r="AA729" s="1379"/>
      <c r="AB729" s="1380"/>
      <c r="AC729" s="1371">
        <v>0.7</v>
      </c>
      <c r="AD729" s="1372"/>
      <c r="AE729" s="1372"/>
      <c r="AF729" s="1372"/>
      <c r="AG729" s="1373"/>
      <c r="AH729" s="1368">
        <f t="shared" si="60"/>
        <v>0.7</v>
      </c>
      <c r="AI729" s="1369"/>
      <c r="AJ729" s="1370"/>
      <c r="AK729" s="1365" t="s">
        <v>599</v>
      </c>
      <c r="AL729" s="1366"/>
      <c r="AM729" s="1366"/>
      <c r="AN729" s="1366"/>
      <c r="AO729" s="136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65" t="s">
        <v>164</v>
      </c>
      <c r="C730" s="1366"/>
      <c r="D730" s="1366"/>
      <c r="E730" s="1366"/>
      <c r="F730" s="1367"/>
      <c r="G730" s="1393">
        <v>2</v>
      </c>
      <c r="H730" s="1394"/>
      <c r="I730" s="1394"/>
      <c r="J730" s="1395"/>
      <c r="K730" s="1390">
        <v>1168</v>
      </c>
      <c r="L730" s="1391"/>
      <c r="M730" s="1391"/>
      <c r="N730" s="1392"/>
      <c r="O730" s="1355">
        <v>913</v>
      </c>
      <c r="P730" s="1356"/>
      <c r="Q730" s="1356"/>
      <c r="R730" s="1356"/>
      <c r="S730" s="1357"/>
      <c r="T730" s="1355">
        <v>123</v>
      </c>
      <c r="U730" s="1356"/>
      <c r="V730" s="1356"/>
      <c r="W730" s="1357"/>
      <c r="X730" s="1378">
        <f t="shared" si="59"/>
        <v>1036</v>
      </c>
      <c r="Y730" s="1379"/>
      <c r="Z730" s="1379"/>
      <c r="AA730" s="1379"/>
      <c r="AB730" s="1380"/>
      <c r="AC730" s="1371">
        <v>0.3</v>
      </c>
      <c r="AD730" s="1372"/>
      <c r="AE730" s="1372"/>
      <c r="AF730" s="1372"/>
      <c r="AG730" s="1373"/>
      <c r="AH730" s="1368">
        <f t="shared" si="60"/>
        <v>0.30011587485515645</v>
      </c>
      <c r="AI730" s="1369"/>
      <c r="AJ730" s="1370"/>
      <c r="AK730" s="1365" t="s">
        <v>599</v>
      </c>
      <c r="AL730" s="1366"/>
      <c r="AM730" s="1366"/>
      <c r="AN730" s="1366"/>
      <c r="AO730" s="136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65" t="s">
        <v>164</v>
      </c>
      <c r="C731" s="1366"/>
      <c r="D731" s="1366"/>
      <c r="E731" s="1366"/>
      <c r="F731" s="1367"/>
      <c r="G731" s="1393">
        <v>4</v>
      </c>
      <c r="H731" s="1394"/>
      <c r="I731" s="1394"/>
      <c r="J731" s="1395"/>
      <c r="K731" s="1390">
        <v>1168</v>
      </c>
      <c r="L731" s="1391"/>
      <c r="M731" s="1391"/>
      <c r="N731" s="1392"/>
      <c r="O731" s="1355">
        <v>913</v>
      </c>
      <c r="P731" s="1356"/>
      <c r="Q731" s="1356"/>
      <c r="R731" s="1356"/>
      <c r="S731" s="1357"/>
      <c r="T731" s="1355">
        <v>123</v>
      </c>
      <c r="U731" s="1356"/>
      <c r="V731" s="1356"/>
      <c r="W731" s="1357"/>
      <c r="X731" s="1378">
        <f t="shared" si="59"/>
        <v>1036</v>
      </c>
      <c r="Y731" s="1379"/>
      <c r="Z731" s="1379"/>
      <c r="AA731" s="1379"/>
      <c r="AB731" s="1380"/>
      <c r="AC731" s="1371">
        <v>0.3</v>
      </c>
      <c r="AD731" s="1372"/>
      <c r="AE731" s="1372"/>
      <c r="AF731" s="1372"/>
      <c r="AG731" s="1373"/>
      <c r="AH731" s="1368">
        <f t="shared" si="60"/>
        <v>0.30011587485515645</v>
      </c>
      <c r="AI731" s="1369"/>
      <c r="AJ731" s="1370"/>
      <c r="AK731" s="1365" t="s">
        <v>599</v>
      </c>
      <c r="AL731" s="1366"/>
      <c r="AM731" s="1366"/>
      <c r="AN731" s="1366"/>
      <c r="AO731" s="136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65" t="s">
        <v>164</v>
      </c>
      <c r="C732" s="1366"/>
      <c r="D732" s="1366"/>
      <c r="E732" s="1366"/>
      <c r="F732" s="1367"/>
      <c r="G732" s="1393">
        <v>6</v>
      </c>
      <c r="H732" s="1394"/>
      <c r="I732" s="1394"/>
      <c r="J732" s="1395"/>
      <c r="K732" s="1390">
        <v>1168</v>
      </c>
      <c r="L732" s="1391"/>
      <c r="M732" s="1391"/>
      <c r="N732" s="1392"/>
      <c r="O732" s="1355">
        <v>1258</v>
      </c>
      <c r="P732" s="1356"/>
      <c r="Q732" s="1356"/>
      <c r="R732" s="1356"/>
      <c r="S732" s="1357"/>
      <c r="T732" s="1355">
        <v>123</v>
      </c>
      <c r="U732" s="1356"/>
      <c r="V732" s="1356"/>
      <c r="W732" s="1357"/>
      <c r="X732" s="1378">
        <f t="shared" si="59"/>
        <v>1381</v>
      </c>
      <c r="Y732" s="1379"/>
      <c r="Z732" s="1379"/>
      <c r="AA732" s="1379"/>
      <c r="AB732" s="1380"/>
      <c r="AC732" s="1371">
        <v>0.4</v>
      </c>
      <c r="AD732" s="1372"/>
      <c r="AE732" s="1372"/>
      <c r="AF732" s="1372"/>
      <c r="AG732" s="1373"/>
      <c r="AH732" s="1368">
        <f t="shared" si="60"/>
        <v>0.40005793742757823</v>
      </c>
      <c r="AI732" s="1369"/>
      <c r="AJ732" s="1370"/>
      <c r="AK732" s="1365" t="s">
        <v>599</v>
      </c>
      <c r="AL732" s="1366"/>
      <c r="AM732" s="1366"/>
      <c r="AN732" s="1366"/>
      <c r="AO732" s="136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65" t="s">
        <v>164</v>
      </c>
      <c r="C733" s="1366"/>
      <c r="D733" s="1366"/>
      <c r="E733" s="1366"/>
      <c r="F733" s="1367"/>
      <c r="G733" s="1393">
        <v>6</v>
      </c>
      <c r="H733" s="1394"/>
      <c r="I733" s="1394"/>
      <c r="J733" s="1395"/>
      <c r="K733" s="1390">
        <v>1168</v>
      </c>
      <c r="L733" s="1391"/>
      <c r="M733" s="1391"/>
      <c r="N733" s="1392"/>
      <c r="O733" s="1355">
        <v>1603</v>
      </c>
      <c r="P733" s="1356"/>
      <c r="Q733" s="1356"/>
      <c r="R733" s="1356"/>
      <c r="S733" s="1357"/>
      <c r="T733" s="1355">
        <v>123</v>
      </c>
      <c r="U733" s="1356"/>
      <c r="V733" s="1356"/>
      <c r="W733" s="1357"/>
      <c r="X733" s="1378">
        <f t="shared" si="59"/>
        <v>1726</v>
      </c>
      <c r="Y733" s="1379"/>
      <c r="Z733" s="1379"/>
      <c r="AA733" s="1379"/>
      <c r="AB733" s="1380"/>
      <c r="AC733" s="1371">
        <v>0.5</v>
      </c>
      <c r="AD733" s="1372"/>
      <c r="AE733" s="1372"/>
      <c r="AF733" s="1372"/>
      <c r="AG733" s="1373"/>
      <c r="AH733" s="1368">
        <f t="shared" si="60"/>
        <v>0.5</v>
      </c>
      <c r="AI733" s="1369"/>
      <c r="AJ733" s="1370"/>
      <c r="AK733" s="1365" t="s">
        <v>599</v>
      </c>
      <c r="AL733" s="1366"/>
      <c r="AM733" s="1366"/>
      <c r="AN733" s="1366"/>
      <c r="AO733" s="136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65" t="s">
        <v>164</v>
      </c>
      <c r="C734" s="1366"/>
      <c r="D734" s="1366"/>
      <c r="E734" s="1366"/>
      <c r="F734" s="1367"/>
      <c r="G734" s="1393">
        <v>6</v>
      </c>
      <c r="H734" s="1394"/>
      <c r="I734" s="1394"/>
      <c r="J734" s="1395"/>
      <c r="K734" s="1390">
        <v>1168</v>
      </c>
      <c r="L734" s="1391"/>
      <c r="M734" s="1391"/>
      <c r="N734" s="1392"/>
      <c r="O734" s="1355">
        <v>1949</v>
      </c>
      <c r="P734" s="1356"/>
      <c r="Q734" s="1356"/>
      <c r="R734" s="1356"/>
      <c r="S734" s="1357"/>
      <c r="T734" s="1355">
        <v>123</v>
      </c>
      <c r="U734" s="1356"/>
      <c r="V734" s="1356"/>
      <c r="W734" s="1357"/>
      <c r="X734" s="1378">
        <f t="shared" si="59"/>
        <v>2072</v>
      </c>
      <c r="Y734" s="1379"/>
      <c r="Z734" s="1379"/>
      <c r="AA734" s="1379"/>
      <c r="AB734" s="1380"/>
      <c r="AC734" s="1371">
        <v>0.6</v>
      </c>
      <c r="AD734" s="1372"/>
      <c r="AE734" s="1372"/>
      <c r="AF734" s="1372"/>
      <c r="AG734" s="1373"/>
      <c r="AH734" s="1368">
        <f t="shared" si="60"/>
        <v>0.6002317497103129</v>
      </c>
      <c r="AI734" s="1369"/>
      <c r="AJ734" s="1370"/>
      <c r="AK734" s="1365" t="s">
        <v>599</v>
      </c>
      <c r="AL734" s="1366"/>
      <c r="AM734" s="1366"/>
      <c r="AN734" s="1366"/>
      <c r="AO734" s="136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65" t="s">
        <v>164</v>
      </c>
      <c r="C735" s="1366"/>
      <c r="D735" s="1366"/>
      <c r="E735" s="1366"/>
      <c r="F735" s="1367"/>
      <c r="G735" s="1393">
        <v>31</v>
      </c>
      <c r="H735" s="1394"/>
      <c r="I735" s="1394"/>
      <c r="J735" s="1395"/>
      <c r="K735" s="1390">
        <v>1168</v>
      </c>
      <c r="L735" s="1391"/>
      <c r="M735" s="1391"/>
      <c r="N735" s="1392"/>
      <c r="O735" s="1355">
        <v>2294</v>
      </c>
      <c r="P735" s="1356"/>
      <c r="Q735" s="1356"/>
      <c r="R735" s="1356"/>
      <c r="S735" s="1357"/>
      <c r="T735" s="1355">
        <v>123</v>
      </c>
      <c r="U735" s="1356"/>
      <c r="V735" s="1356"/>
      <c r="W735" s="1357"/>
      <c r="X735" s="1378">
        <f t="shared" si="59"/>
        <v>2417</v>
      </c>
      <c r="Y735" s="1379"/>
      <c r="Z735" s="1379"/>
      <c r="AA735" s="1379"/>
      <c r="AB735" s="1380"/>
      <c r="AC735" s="1371">
        <v>0.7</v>
      </c>
      <c r="AD735" s="1372"/>
      <c r="AE735" s="1372"/>
      <c r="AF735" s="1372"/>
      <c r="AG735" s="1373"/>
      <c r="AH735" s="1368">
        <f t="shared" si="60"/>
        <v>0.70017381228273468</v>
      </c>
      <c r="AI735" s="1369"/>
      <c r="AJ735" s="1370"/>
      <c r="AK735" s="1365" t="s">
        <v>599</v>
      </c>
      <c r="AL735" s="1366"/>
      <c r="AM735" s="1366"/>
      <c r="AN735" s="1366"/>
      <c r="AO735" s="136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65" t="s">
        <v>165</v>
      </c>
      <c r="C736" s="1366"/>
      <c r="D736" s="1366"/>
      <c r="E736" s="1366"/>
      <c r="F736" s="1367"/>
      <c r="G736" s="1393">
        <v>2</v>
      </c>
      <c r="H736" s="1394"/>
      <c r="I736" s="1394"/>
      <c r="J736" s="1395"/>
      <c r="K736" s="1390">
        <v>1378</v>
      </c>
      <c r="L736" s="1391"/>
      <c r="M736" s="1391"/>
      <c r="N736" s="1392"/>
      <c r="O736" s="1355">
        <v>1004</v>
      </c>
      <c r="P736" s="1356"/>
      <c r="Q736" s="1356"/>
      <c r="R736" s="1356"/>
      <c r="S736" s="1357"/>
      <c r="T736" s="1355">
        <v>151</v>
      </c>
      <c r="U736" s="1356"/>
      <c r="V736" s="1356"/>
      <c r="W736" s="1357"/>
      <c r="X736" s="1378">
        <f t="shared" si="59"/>
        <v>1155</v>
      </c>
      <c r="Y736" s="1379"/>
      <c r="Z736" s="1379"/>
      <c r="AA736" s="1379"/>
      <c r="AB736" s="1380"/>
      <c r="AC736" s="1371">
        <v>0.3</v>
      </c>
      <c r="AD736" s="1372"/>
      <c r="AE736" s="1372"/>
      <c r="AF736" s="1372"/>
      <c r="AG736" s="1373"/>
      <c r="AH736" s="1368">
        <f t="shared" si="60"/>
        <v>0.29984423676012462</v>
      </c>
      <c r="AI736" s="1369"/>
      <c r="AJ736" s="1370"/>
      <c r="AK736" s="1365" t="s">
        <v>599</v>
      </c>
      <c r="AL736" s="1366"/>
      <c r="AM736" s="1366"/>
      <c r="AN736" s="1366"/>
      <c r="AO736" s="136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65" t="s">
        <v>165</v>
      </c>
      <c r="C737" s="1366"/>
      <c r="D737" s="1366"/>
      <c r="E737" s="1366"/>
      <c r="F737" s="1367"/>
      <c r="G737" s="1393">
        <v>2</v>
      </c>
      <c r="H737" s="1394"/>
      <c r="I737" s="1394"/>
      <c r="J737" s="1395"/>
      <c r="K737" s="1390">
        <v>1378</v>
      </c>
      <c r="L737" s="1391"/>
      <c r="M737" s="1391"/>
      <c r="N737" s="1392"/>
      <c r="O737" s="1355">
        <v>1390</v>
      </c>
      <c r="P737" s="1356"/>
      <c r="Q737" s="1356"/>
      <c r="R737" s="1356"/>
      <c r="S737" s="1357"/>
      <c r="T737" s="1355">
        <v>151</v>
      </c>
      <c r="U737" s="1356"/>
      <c r="V737" s="1356"/>
      <c r="W737" s="1357"/>
      <c r="X737" s="1378">
        <f t="shared" si="59"/>
        <v>1541</v>
      </c>
      <c r="Y737" s="1379"/>
      <c r="Z737" s="1379"/>
      <c r="AA737" s="1379"/>
      <c r="AB737" s="1380"/>
      <c r="AC737" s="1371">
        <v>0.4</v>
      </c>
      <c r="AD737" s="1372"/>
      <c r="AE737" s="1372"/>
      <c r="AF737" s="1372"/>
      <c r="AG737" s="1373"/>
      <c r="AH737" s="1368">
        <f t="shared" si="60"/>
        <v>0.40005192107995846</v>
      </c>
      <c r="AI737" s="1369"/>
      <c r="AJ737" s="1370"/>
      <c r="AK737" s="1365" t="s">
        <v>599</v>
      </c>
      <c r="AL737" s="1366"/>
      <c r="AM737" s="1366"/>
      <c r="AN737" s="1366"/>
      <c r="AO737" s="136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65" t="s">
        <v>165</v>
      </c>
      <c r="C738" s="1366"/>
      <c r="D738" s="1366"/>
      <c r="E738" s="1366"/>
      <c r="F738" s="1367"/>
      <c r="G738" s="1393">
        <v>2</v>
      </c>
      <c r="H738" s="1394"/>
      <c r="I738" s="1394"/>
      <c r="J738" s="1395"/>
      <c r="K738" s="1390">
        <v>1378</v>
      </c>
      <c r="L738" s="1391"/>
      <c r="M738" s="1391"/>
      <c r="N738" s="1392"/>
      <c r="O738" s="1355">
        <v>1775</v>
      </c>
      <c r="P738" s="1356"/>
      <c r="Q738" s="1356"/>
      <c r="R738" s="1356"/>
      <c r="S738" s="1357"/>
      <c r="T738" s="1355">
        <v>151</v>
      </c>
      <c r="U738" s="1356"/>
      <c r="V738" s="1356"/>
      <c r="W738" s="1357"/>
      <c r="X738" s="1378">
        <f t="shared" si="59"/>
        <v>1926</v>
      </c>
      <c r="Y738" s="1379"/>
      <c r="Z738" s="1379"/>
      <c r="AA738" s="1379"/>
      <c r="AB738" s="1380"/>
      <c r="AC738" s="1371">
        <v>0.5</v>
      </c>
      <c r="AD738" s="1372"/>
      <c r="AE738" s="1372"/>
      <c r="AF738" s="1372"/>
      <c r="AG738" s="1373"/>
      <c r="AH738" s="1368">
        <f t="shared" si="60"/>
        <v>0.5</v>
      </c>
      <c r="AI738" s="1369"/>
      <c r="AJ738" s="1370"/>
      <c r="AK738" s="1365" t="s">
        <v>599</v>
      </c>
      <c r="AL738" s="1366"/>
      <c r="AM738" s="1366"/>
      <c r="AN738" s="1366"/>
      <c r="AO738" s="136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365" t="s">
        <v>165</v>
      </c>
      <c r="C739" s="1366"/>
      <c r="D739" s="1366"/>
      <c r="E739" s="1366"/>
      <c r="F739" s="1367"/>
      <c r="G739" s="1393">
        <v>2</v>
      </c>
      <c r="H739" s="1394"/>
      <c r="I739" s="1394"/>
      <c r="J739" s="1395"/>
      <c r="K739" s="1390">
        <v>1378</v>
      </c>
      <c r="L739" s="1391"/>
      <c r="M739" s="1391"/>
      <c r="N739" s="1392"/>
      <c r="O739" s="1355">
        <v>2160</v>
      </c>
      <c r="P739" s="1356"/>
      <c r="Q739" s="1356"/>
      <c r="R739" s="1356"/>
      <c r="S739" s="1357"/>
      <c r="T739" s="1355">
        <v>151</v>
      </c>
      <c r="U739" s="1356"/>
      <c r="V739" s="1356"/>
      <c r="W739" s="1357"/>
      <c r="X739" s="1378">
        <f t="shared" si="59"/>
        <v>2311</v>
      </c>
      <c r="Y739" s="1379"/>
      <c r="Z739" s="1379"/>
      <c r="AA739" s="1379"/>
      <c r="AB739" s="1380"/>
      <c r="AC739" s="1371">
        <v>0.6</v>
      </c>
      <c r="AD739" s="1372"/>
      <c r="AE739" s="1372"/>
      <c r="AF739" s="1372"/>
      <c r="AG739" s="1373"/>
      <c r="AH739" s="1368">
        <f t="shared" si="60"/>
        <v>0.59994807892004154</v>
      </c>
      <c r="AI739" s="1369"/>
      <c r="AJ739" s="1370"/>
      <c r="AK739" s="1365" t="s">
        <v>599</v>
      </c>
      <c r="AL739" s="1366"/>
      <c r="AM739" s="1366"/>
      <c r="AN739" s="1366"/>
      <c r="AO739" s="136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365" t="s">
        <v>165</v>
      </c>
      <c r="C740" s="1366"/>
      <c r="D740" s="1366"/>
      <c r="E740" s="1366"/>
      <c r="F740" s="1367"/>
      <c r="G740" s="1393">
        <v>10</v>
      </c>
      <c r="H740" s="1394"/>
      <c r="I740" s="1394"/>
      <c r="J740" s="1395"/>
      <c r="K740" s="1390">
        <v>1378</v>
      </c>
      <c r="L740" s="1391"/>
      <c r="M740" s="1391"/>
      <c r="N740" s="1392"/>
      <c r="O740" s="1355">
        <v>2545</v>
      </c>
      <c r="P740" s="1356"/>
      <c r="Q740" s="1356"/>
      <c r="R740" s="1356"/>
      <c r="S740" s="1357"/>
      <c r="T740" s="1355">
        <v>151</v>
      </c>
      <c r="U740" s="1356"/>
      <c r="V740" s="1356"/>
      <c r="W740" s="1357"/>
      <c r="X740" s="1378">
        <f t="shared" si="59"/>
        <v>2696</v>
      </c>
      <c r="Y740" s="1379"/>
      <c r="Z740" s="1379"/>
      <c r="AA740" s="1379"/>
      <c r="AB740" s="1380"/>
      <c r="AC740" s="1371">
        <v>0.7</v>
      </c>
      <c r="AD740" s="1372"/>
      <c r="AE740" s="1372"/>
      <c r="AF740" s="1372"/>
      <c r="AG740" s="1373"/>
      <c r="AH740" s="1368">
        <f t="shared" si="60"/>
        <v>0.69989615784008308</v>
      </c>
      <c r="AI740" s="1369"/>
      <c r="AJ740" s="1370"/>
      <c r="AK740" s="1365" t="s">
        <v>599</v>
      </c>
      <c r="AL740" s="1366"/>
      <c r="AM740" s="1366"/>
      <c r="AN740" s="1366"/>
      <c r="AO740" s="136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365"/>
      <c r="C741" s="1366"/>
      <c r="D741" s="1366"/>
      <c r="E741" s="1366"/>
      <c r="F741" s="1367"/>
      <c r="G741" s="1393"/>
      <c r="H741" s="1394"/>
      <c r="I741" s="1394"/>
      <c r="J741" s="1395"/>
      <c r="K741" s="1390"/>
      <c r="L741" s="1391"/>
      <c r="M741" s="1391"/>
      <c r="N741" s="1392"/>
      <c r="O741" s="1355"/>
      <c r="P741" s="1356"/>
      <c r="Q741" s="1356"/>
      <c r="R741" s="1356"/>
      <c r="S741" s="1357"/>
      <c r="T741" s="1355"/>
      <c r="U741" s="1356"/>
      <c r="V741" s="1356"/>
      <c r="W741" s="1357"/>
      <c r="X741" s="1378">
        <f t="shared" si="59"/>
        <v>0</v>
      </c>
      <c r="Y741" s="1379"/>
      <c r="Z741" s="1379"/>
      <c r="AA741" s="1379"/>
      <c r="AB741" s="1380"/>
      <c r="AC741" s="1371"/>
      <c r="AD741" s="1372"/>
      <c r="AE741" s="1372"/>
      <c r="AF741" s="1372"/>
      <c r="AG741" s="1373"/>
      <c r="AH741" s="1368" t="str">
        <f t="shared" si="60"/>
        <v/>
      </c>
      <c r="AI741" s="1369"/>
      <c r="AJ741" s="1370"/>
      <c r="AK741" s="1365" t="s">
        <v>599</v>
      </c>
      <c r="AL741" s="1366"/>
      <c r="AM741" s="1366"/>
      <c r="AN741" s="1366"/>
      <c r="AO741" s="136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365"/>
      <c r="C742" s="1366"/>
      <c r="D742" s="1366"/>
      <c r="E742" s="1366"/>
      <c r="F742" s="1367"/>
      <c r="G742" s="1393"/>
      <c r="H742" s="1394"/>
      <c r="I742" s="1394"/>
      <c r="J742" s="1395"/>
      <c r="K742" s="1390"/>
      <c r="L742" s="1391"/>
      <c r="M742" s="1391"/>
      <c r="N742" s="1392"/>
      <c r="O742" s="1355"/>
      <c r="P742" s="1356"/>
      <c r="Q742" s="1356"/>
      <c r="R742" s="1356"/>
      <c r="S742" s="1357"/>
      <c r="T742" s="1355"/>
      <c r="U742" s="1356"/>
      <c r="V742" s="1356"/>
      <c r="W742" s="1357"/>
      <c r="X742" s="1378">
        <f t="shared" ref="X742:X751" si="61">O742+T742</f>
        <v>0</v>
      </c>
      <c r="Y742" s="1379"/>
      <c r="Z742" s="1379"/>
      <c r="AA742" s="1379"/>
      <c r="AB742" s="1380"/>
      <c r="AC742" s="1371"/>
      <c r="AD742" s="1372"/>
      <c r="AE742" s="1372"/>
      <c r="AF742" s="1372"/>
      <c r="AG742" s="1373"/>
      <c r="AH742" s="1368" t="str">
        <f t="shared" si="60"/>
        <v/>
      </c>
      <c r="AI742" s="1369"/>
      <c r="AJ742" s="1370"/>
      <c r="AK742" s="1365" t="s">
        <v>599</v>
      </c>
      <c r="AL742" s="1366"/>
      <c r="AM742" s="1366"/>
      <c r="AN742" s="1366"/>
      <c r="AO742" s="136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365"/>
      <c r="C743" s="1366"/>
      <c r="D743" s="1366"/>
      <c r="E743" s="1366"/>
      <c r="F743" s="1367"/>
      <c r="G743" s="1393"/>
      <c r="H743" s="1394"/>
      <c r="I743" s="1394"/>
      <c r="J743" s="1395"/>
      <c r="K743" s="1390"/>
      <c r="L743" s="1391"/>
      <c r="M743" s="1391"/>
      <c r="N743" s="1392"/>
      <c r="O743" s="1355"/>
      <c r="P743" s="1356"/>
      <c r="Q743" s="1356"/>
      <c r="R743" s="1356"/>
      <c r="S743" s="1357"/>
      <c r="T743" s="1355"/>
      <c r="U743" s="1356"/>
      <c r="V743" s="1356"/>
      <c r="W743" s="1357"/>
      <c r="X743" s="1378">
        <f t="shared" si="61"/>
        <v>0</v>
      </c>
      <c r="Y743" s="1379"/>
      <c r="Z743" s="1379"/>
      <c r="AA743" s="1379"/>
      <c r="AB743" s="1380"/>
      <c r="AC743" s="1371"/>
      <c r="AD743" s="1372"/>
      <c r="AE743" s="1372"/>
      <c r="AF743" s="1372"/>
      <c r="AG743" s="1373"/>
      <c r="AH743" s="1368" t="str">
        <f t="shared" si="60"/>
        <v/>
      </c>
      <c r="AI743" s="1369"/>
      <c r="AJ743" s="1370"/>
      <c r="AK743" s="1365" t="s">
        <v>599</v>
      </c>
      <c r="AL743" s="1366"/>
      <c r="AM743" s="1366"/>
      <c r="AN743" s="1366"/>
      <c r="AO743" s="136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365"/>
      <c r="C744" s="1366"/>
      <c r="D744" s="1366"/>
      <c r="E744" s="1366"/>
      <c r="F744" s="1367"/>
      <c r="G744" s="1393"/>
      <c r="H744" s="1394"/>
      <c r="I744" s="1394"/>
      <c r="J744" s="1395"/>
      <c r="K744" s="1390"/>
      <c r="L744" s="1391"/>
      <c r="M744" s="1391"/>
      <c r="N744" s="1392"/>
      <c r="O744" s="1355"/>
      <c r="P744" s="1356"/>
      <c r="Q744" s="1356"/>
      <c r="R744" s="1356"/>
      <c r="S744" s="1357"/>
      <c r="T744" s="1355"/>
      <c r="U744" s="1356"/>
      <c r="V744" s="1356"/>
      <c r="W744" s="1357"/>
      <c r="X744" s="1378">
        <f t="shared" si="61"/>
        <v>0</v>
      </c>
      <c r="Y744" s="1379"/>
      <c r="Z744" s="1379"/>
      <c r="AA744" s="1379"/>
      <c r="AB744" s="1380"/>
      <c r="AC744" s="1371"/>
      <c r="AD744" s="1372"/>
      <c r="AE744" s="1372"/>
      <c r="AF744" s="1372"/>
      <c r="AG744" s="1373"/>
      <c r="AH744" s="1368" t="str">
        <f t="shared" si="60"/>
        <v/>
      </c>
      <c r="AI744" s="1369"/>
      <c r="AJ744" s="1370"/>
      <c r="AK744" s="1365" t="s">
        <v>599</v>
      </c>
      <c r="AL744" s="1366"/>
      <c r="AM744" s="1366"/>
      <c r="AN744" s="1366"/>
      <c r="AO744" s="136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365"/>
      <c r="C745" s="1366"/>
      <c r="D745" s="1366"/>
      <c r="E745" s="1366"/>
      <c r="F745" s="1367"/>
      <c r="G745" s="1393"/>
      <c r="H745" s="1394"/>
      <c r="I745" s="1394"/>
      <c r="J745" s="1395"/>
      <c r="K745" s="1390"/>
      <c r="L745" s="1391"/>
      <c r="M745" s="1391"/>
      <c r="N745" s="1392"/>
      <c r="O745" s="1355"/>
      <c r="P745" s="1356"/>
      <c r="Q745" s="1356"/>
      <c r="R745" s="1356"/>
      <c r="S745" s="1357"/>
      <c r="T745" s="1355"/>
      <c r="U745" s="1356"/>
      <c r="V745" s="1356"/>
      <c r="W745" s="1357"/>
      <c r="X745" s="1378">
        <f t="shared" si="61"/>
        <v>0</v>
      </c>
      <c r="Y745" s="1379"/>
      <c r="Z745" s="1379"/>
      <c r="AA745" s="1379"/>
      <c r="AB745" s="1380"/>
      <c r="AC745" s="1371"/>
      <c r="AD745" s="1372"/>
      <c r="AE745" s="1372"/>
      <c r="AF745" s="1372"/>
      <c r="AG745" s="1373"/>
      <c r="AH745" s="1368" t="str">
        <f t="shared" si="60"/>
        <v/>
      </c>
      <c r="AI745" s="1369"/>
      <c r="AJ745" s="1370"/>
      <c r="AK745" s="1365" t="s">
        <v>599</v>
      </c>
      <c r="AL745" s="1366"/>
      <c r="AM745" s="1366"/>
      <c r="AN745" s="1366"/>
      <c r="AO745" s="136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365"/>
      <c r="C746" s="1366"/>
      <c r="D746" s="1366"/>
      <c r="E746" s="1366"/>
      <c r="F746" s="1367"/>
      <c r="G746" s="1393"/>
      <c r="H746" s="1394"/>
      <c r="I746" s="1394"/>
      <c r="J746" s="1395"/>
      <c r="K746" s="1390"/>
      <c r="L746" s="1391"/>
      <c r="M746" s="1391"/>
      <c r="N746" s="1392"/>
      <c r="O746" s="1355"/>
      <c r="P746" s="1356"/>
      <c r="Q746" s="1356"/>
      <c r="R746" s="1356"/>
      <c r="S746" s="1357"/>
      <c r="T746" s="1355"/>
      <c r="U746" s="1356"/>
      <c r="V746" s="1356"/>
      <c r="W746" s="1357"/>
      <c r="X746" s="1378">
        <f t="shared" si="61"/>
        <v>0</v>
      </c>
      <c r="Y746" s="1379"/>
      <c r="Z746" s="1379"/>
      <c r="AA746" s="1379"/>
      <c r="AB746" s="1380"/>
      <c r="AC746" s="1371"/>
      <c r="AD746" s="1372"/>
      <c r="AE746" s="1372"/>
      <c r="AF746" s="1372"/>
      <c r="AG746" s="1373"/>
      <c r="AH746" s="1368" t="str">
        <f t="shared" si="60"/>
        <v/>
      </c>
      <c r="AI746" s="1369"/>
      <c r="AJ746" s="1370"/>
      <c r="AK746" s="1365" t="s">
        <v>599</v>
      </c>
      <c r="AL746" s="1366"/>
      <c r="AM746" s="1366"/>
      <c r="AN746" s="1366"/>
      <c r="AO746" s="136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 customHeight="1">
      <c r="B747" s="1365"/>
      <c r="C747" s="1366"/>
      <c r="D747" s="1366"/>
      <c r="E747" s="1366"/>
      <c r="F747" s="1367"/>
      <c r="G747" s="1393"/>
      <c r="H747" s="1394"/>
      <c r="I747" s="1394"/>
      <c r="J747" s="1395"/>
      <c r="K747" s="1390"/>
      <c r="L747" s="1391"/>
      <c r="M747" s="1391"/>
      <c r="N747" s="1392"/>
      <c r="O747" s="1355"/>
      <c r="P747" s="1356"/>
      <c r="Q747" s="1356"/>
      <c r="R747" s="1356"/>
      <c r="S747" s="1357"/>
      <c r="T747" s="1355"/>
      <c r="U747" s="1356"/>
      <c r="V747" s="1356"/>
      <c r="W747" s="1357"/>
      <c r="X747" s="1378">
        <f t="shared" si="61"/>
        <v>0</v>
      </c>
      <c r="Y747" s="1379"/>
      <c r="Z747" s="1379"/>
      <c r="AA747" s="1379"/>
      <c r="AB747" s="1380"/>
      <c r="AC747" s="1371"/>
      <c r="AD747" s="1372"/>
      <c r="AE747" s="1372"/>
      <c r="AF747" s="1372"/>
      <c r="AG747" s="1373"/>
      <c r="AH747" s="1368" t="str">
        <f t="shared" si="60"/>
        <v/>
      </c>
      <c r="AI747" s="1369"/>
      <c r="AJ747" s="1370"/>
      <c r="AK747" s="1365" t="s">
        <v>599</v>
      </c>
      <c r="AL747" s="1366"/>
      <c r="AM747" s="1366"/>
      <c r="AN747" s="1366"/>
      <c r="AO747" s="136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365"/>
      <c r="C748" s="1366"/>
      <c r="D748" s="1366"/>
      <c r="E748" s="1366"/>
      <c r="F748" s="1367"/>
      <c r="G748" s="1393"/>
      <c r="H748" s="1394"/>
      <c r="I748" s="1394"/>
      <c r="J748" s="1395"/>
      <c r="K748" s="1390"/>
      <c r="L748" s="1391"/>
      <c r="M748" s="1391"/>
      <c r="N748" s="1392"/>
      <c r="O748" s="1355"/>
      <c r="P748" s="1356"/>
      <c r="Q748" s="1356"/>
      <c r="R748" s="1356"/>
      <c r="S748" s="1357"/>
      <c r="T748" s="1355"/>
      <c r="U748" s="1356"/>
      <c r="V748" s="1356"/>
      <c r="W748" s="1357"/>
      <c r="X748" s="1378">
        <f t="shared" si="61"/>
        <v>0</v>
      </c>
      <c r="Y748" s="1379"/>
      <c r="Z748" s="1379"/>
      <c r="AA748" s="1379"/>
      <c r="AB748" s="1380"/>
      <c r="AC748" s="1371"/>
      <c r="AD748" s="1372"/>
      <c r="AE748" s="1372"/>
      <c r="AF748" s="1372"/>
      <c r="AG748" s="1373"/>
      <c r="AH748" s="1368" t="str">
        <f t="shared" si="60"/>
        <v/>
      </c>
      <c r="AI748" s="1369"/>
      <c r="AJ748" s="1370"/>
      <c r="AK748" s="1365" t="s">
        <v>599</v>
      </c>
      <c r="AL748" s="1366"/>
      <c r="AM748" s="1366"/>
      <c r="AN748" s="1366"/>
      <c r="AO748" s="136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365"/>
      <c r="C749" s="1366"/>
      <c r="D749" s="1366"/>
      <c r="E749" s="1366"/>
      <c r="F749" s="1367"/>
      <c r="G749" s="1393"/>
      <c r="H749" s="1394"/>
      <c r="I749" s="1394"/>
      <c r="J749" s="1395"/>
      <c r="K749" s="1390"/>
      <c r="L749" s="1391"/>
      <c r="M749" s="1391"/>
      <c r="N749" s="1392"/>
      <c r="O749" s="1355"/>
      <c r="P749" s="1356"/>
      <c r="Q749" s="1356"/>
      <c r="R749" s="1356"/>
      <c r="S749" s="1357"/>
      <c r="T749" s="1355"/>
      <c r="U749" s="1356"/>
      <c r="V749" s="1356"/>
      <c r="W749" s="1357"/>
      <c r="X749" s="1378">
        <f t="shared" si="61"/>
        <v>0</v>
      </c>
      <c r="Y749" s="1379"/>
      <c r="Z749" s="1379"/>
      <c r="AA749" s="1379"/>
      <c r="AB749" s="1380"/>
      <c r="AC749" s="1371"/>
      <c r="AD749" s="1372"/>
      <c r="AE749" s="1372"/>
      <c r="AF749" s="1372"/>
      <c r="AG749" s="1373"/>
      <c r="AH749" s="1368" t="str">
        <f t="shared" si="60"/>
        <v/>
      </c>
      <c r="AI749" s="1369"/>
      <c r="AJ749" s="1370"/>
      <c r="AK749" s="1365" t="s">
        <v>599</v>
      </c>
      <c r="AL749" s="1366"/>
      <c r="AM749" s="1366"/>
      <c r="AN749" s="1366"/>
      <c r="AO749" s="136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365"/>
      <c r="C750" s="1366"/>
      <c r="D750" s="1366"/>
      <c r="E750" s="1366"/>
      <c r="F750" s="1367"/>
      <c r="G750" s="1393"/>
      <c r="H750" s="1394"/>
      <c r="I750" s="1394"/>
      <c r="J750" s="1395"/>
      <c r="K750" s="1390"/>
      <c r="L750" s="1391"/>
      <c r="M750" s="1391"/>
      <c r="N750" s="1392"/>
      <c r="O750" s="1355"/>
      <c r="P750" s="1356"/>
      <c r="Q750" s="1356"/>
      <c r="R750" s="1356"/>
      <c r="S750" s="1357"/>
      <c r="T750" s="1355"/>
      <c r="U750" s="1356"/>
      <c r="V750" s="1356"/>
      <c r="W750" s="1357"/>
      <c r="X750" s="1378">
        <f t="shared" si="61"/>
        <v>0</v>
      </c>
      <c r="Y750" s="1379"/>
      <c r="Z750" s="1379"/>
      <c r="AA750" s="1379"/>
      <c r="AB750" s="1380"/>
      <c r="AC750" s="1371"/>
      <c r="AD750" s="1372"/>
      <c r="AE750" s="1372"/>
      <c r="AF750" s="1372"/>
      <c r="AG750" s="1373"/>
      <c r="AH750" s="1368" t="str">
        <f t="shared" si="60"/>
        <v/>
      </c>
      <c r="AI750" s="1369"/>
      <c r="AJ750" s="1370"/>
      <c r="AK750" s="1365" t="s">
        <v>599</v>
      </c>
      <c r="AL750" s="1366"/>
      <c r="AM750" s="1366"/>
      <c r="AN750" s="1366"/>
      <c r="AO750" s="136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365"/>
      <c r="C751" s="1366"/>
      <c r="D751" s="1366"/>
      <c r="E751" s="1366"/>
      <c r="F751" s="1367"/>
      <c r="G751" s="1393"/>
      <c r="H751" s="1394"/>
      <c r="I751" s="1394"/>
      <c r="J751" s="1395"/>
      <c r="K751" s="1390"/>
      <c r="L751" s="1391"/>
      <c r="M751" s="1391"/>
      <c r="N751" s="1392"/>
      <c r="O751" s="1355"/>
      <c r="P751" s="1356"/>
      <c r="Q751" s="1356"/>
      <c r="R751" s="1356"/>
      <c r="S751" s="1357"/>
      <c r="T751" s="1355"/>
      <c r="U751" s="1356"/>
      <c r="V751" s="1356"/>
      <c r="W751" s="1357"/>
      <c r="X751" s="1378">
        <f t="shared" si="61"/>
        <v>0</v>
      </c>
      <c r="Y751" s="1379"/>
      <c r="Z751" s="1379"/>
      <c r="AA751" s="1379"/>
      <c r="AB751" s="1380"/>
      <c r="AC751" s="1371"/>
      <c r="AD751" s="1372"/>
      <c r="AE751" s="1372"/>
      <c r="AF751" s="1372"/>
      <c r="AG751" s="1373"/>
      <c r="AH751" s="1368" t="str">
        <f t="shared" si="60"/>
        <v/>
      </c>
      <c r="AI751" s="1369"/>
      <c r="AJ751" s="1370"/>
      <c r="AK751" s="1365" t="s">
        <v>599</v>
      </c>
      <c r="AL751" s="1366"/>
      <c r="AM751" s="1366"/>
      <c r="AN751" s="1366"/>
      <c r="AO751" s="136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365"/>
      <c r="C752" s="1366"/>
      <c r="D752" s="1366"/>
      <c r="E752" s="1366"/>
      <c r="F752" s="1367"/>
      <c r="G752" s="1393"/>
      <c r="H752" s="1394"/>
      <c r="I752" s="1394"/>
      <c r="J752" s="1395"/>
      <c r="K752" s="1390"/>
      <c r="L752" s="1391"/>
      <c r="M752" s="1391"/>
      <c r="N752" s="1392"/>
      <c r="O752" s="1355"/>
      <c r="P752" s="1356"/>
      <c r="Q752" s="1356"/>
      <c r="R752" s="1356"/>
      <c r="S752" s="1357"/>
      <c r="T752" s="1355"/>
      <c r="U752" s="1356"/>
      <c r="V752" s="1356"/>
      <c r="W752" s="1357"/>
      <c r="X752" s="1378">
        <f>O752+T752</f>
        <v>0</v>
      </c>
      <c r="Y752" s="1379"/>
      <c r="Z752" s="1379"/>
      <c r="AA752" s="1379"/>
      <c r="AB752" s="1380"/>
      <c r="AC752" s="1371"/>
      <c r="AD752" s="1372"/>
      <c r="AE752" s="1372"/>
      <c r="AF752" s="1372"/>
      <c r="AG752" s="1373"/>
      <c r="AH752" s="1368" t="str">
        <f>IF($AC752&gt;0,($X752/$BA701), "")</f>
        <v/>
      </c>
      <c r="AI752" s="1369"/>
      <c r="AJ752" s="1370"/>
      <c r="AK752" s="1365" t="s">
        <v>599</v>
      </c>
      <c r="AL752" s="1366"/>
      <c r="AM752" s="1366"/>
      <c r="AN752" s="1366"/>
      <c r="AO752" s="136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594" t="s">
        <v>125</v>
      </c>
      <c r="C753" s="1595"/>
      <c r="D753" s="1595"/>
      <c r="E753" s="1595"/>
      <c r="F753" s="1596"/>
      <c r="G753" s="1762">
        <f>SUM(G718:G752)</f>
        <v>164</v>
      </c>
      <c r="H753" s="1763"/>
      <c r="I753" s="1763"/>
      <c r="J753" s="1764"/>
      <c r="K753" s="937" t="s">
        <v>124</v>
      </c>
      <c r="L753" s="5"/>
      <c r="M753" s="5"/>
      <c r="N753" s="46"/>
      <c r="O753" s="1378">
        <f>SUMPRODUCT(G718:G752,O718:O752)</f>
        <v>279007</v>
      </c>
      <c r="P753" s="1379"/>
      <c r="Q753" s="1379"/>
      <c r="R753" s="1379"/>
      <c r="S753" s="1380"/>
      <c r="T753"/>
      <c r="U753"/>
      <c r="V753"/>
      <c r="W753"/>
      <c r="X753" s="939" t="s">
        <v>915</v>
      </c>
      <c r="Y753" s="938"/>
      <c r="Z753" s="938"/>
      <c r="AA753" s="938"/>
      <c r="AB753" s="940"/>
      <c r="AC753" s="1737">
        <f>BI703</f>
        <v>0.59024390243902447</v>
      </c>
      <c r="AD753" s="1738"/>
      <c r="AE753" s="1738"/>
      <c r="AF753" s="1738"/>
      <c r="AG753" s="1739"/>
      <c r="AH753" s="1737">
        <f>IFERROR(BV703,"")</f>
        <v>0.59028336344295218</v>
      </c>
      <c r="AI753" s="1738"/>
      <c r="AJ753" s="1739"/>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869" t="s">
        <v>2180</v>
      </c>
      <c r="C754" s="1869"/>
      <c r="D754" s="1869"/>
      <c r="E754" s="1869"/>
      <c r="F754" s="1869"/>
      <c r="G754" s="1869"/>
      <c r="H754" s="1869"/>
      <c r="I754" s="1869"/>
      <c r="J754" s="1869"/>
      <c r="K754" s="1869"/>
      <c r="L754" s="1869"/>
      <c r="M754" s="1869"/>
      <c r="N754" s="1869"/>
      <c r="O754" s="1869"/>
      <c r="P754" s="1869"/>
      <c r="Q754" s="1869"/>
      <c r="R754" s="1869"/>
      <c r="S754" s="1869"/>
      <c r="T754" s="1869"/>
      <c r="U754" s="1869"/>
      <c r="V754" s="1869"/>
      <c r="W754" s="1869"/>
      <c r="X754" s="1869"/>
      <c r="Y754" s="1869"/>
      <c r="Z754" s="1869"/>
      <c r="AA754" s="1869"/>
      <c r="AB754" s="1869"/>
      <c r="AC754" s="1869"/>
      <c r="AD754" s="1869"/>
      <c r="AE754" s="1869"/>
      <c r="AF754" s="1869"/>
      <c r="AG754" s="1869"/>
      <c r="AH754" s="186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869"/>
      <c r="C755" s="1869"/>
      <c r="D755" s="1869"/>
      <c r="E755" s="1869"/>
      <c r="F755" s="1869"/>
      <c r="G755" s="1869"/>
      <c r="H755" s="1869"/>
      <c r="I755" s="1869"/>
      <c r="J755" s="1869"/>
      <c r="K755" s="1869"/>
      <c r="L755" s="1869"/>
      <c r="M755" s="1869"/>
      <c r="N755" s="1869"/>
      <c r="O755" s="1869"/>
      <c r="P755" s="1869"/>
      <c r="Q755" s="1869"/>
      <c r="R755" s="1869"/>
      <c r="S755" s="1869"/>
      <c r="T755" s="1869"/>
      <c r="U755" s="1869"/>
      <c r="V755" s="1869"/>
      <c r="W755" s="1869"/>
      <c r="X755" s="1869"/>
      <c r="Y755" s="1869"/>
      <c r="Z755" s="1869"/>
      <c r="AA755" s="1869"/>
      <c r="AB755" s="1869"/>
      <c r="AC755" s="1869"/>
      <c r="AD755" s="1869"/>
      <c r="AE755" s="1869"/>
      <c r="AF755" s="1869"/>
      <c r="AG755" s="1869"/>
      <c r="AH755" s="186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118" t="s">
        <v>2178</v>
      </c>
      <c r="D756" s="1067"/>
      <c r="E756" s="1067"/>
      <c r="F756" s="1067"/>
      <c r="G756" s="1068"/>
      <c r="H756" s="1068"/>
      <c r="I756" s="1068"/>
      <c r="J756" s="1068"/>
      <c r="K756" s="1067"/>
      <c r="L756" s="1067"/>
      <c r="M756" s="1067"/>
      <c r="N756" s="1067"/>
      <c r="O756" s="1399">
        <f>CS634</f>
        <v>359</v>
      </c>
      <c r="P756" s="1399"/>
      <c r="Q756" s="1399"/>
      <c r="R756" s="1399"/>
      <c r="S756" s="1004"/>
      <c r="T756" s="1004"/>
      <c r="U756" s="118" t="s">
        <v>2179</v>
      </c>
      <c r="V756" s="1067"/>
      <c r="W756" s="1067"/>
      <c r="X756" s="1067"/>
      <c r="Y756" s="1068"/>
      <c r="Z756" s="1068"/>
      <c r="AA756" s="1068"/>
      <c r="AB756" s="1068"/>
      <c r="AC756" s="1067"/>
      <c r="AD756" s="1067"/>
      <c r="AE756" s="1067"/>
      <c r="AF756" s="1067"/>
      <c r="AG756" s="1745"/>
      <c r="AH756" s="1745"/>
      <c r="AI756" s="1745"/>
      <c r="AJ756" s="174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 customHeight="1">
      <c r="B757" s="57"/>
      <c r="C757" s="1868" t="str">
        <f>IF(G753&lt;&gt;AG440,"! Total Low-Income Units in the Unit Mix Table above does not match the number of Total Low-Income Units on row #"&amp;TEXT(ROW(D440),"#"),"")</f>
        <v/>
      </c>
      <c r="D757" s="1868"/>
      <c r="E757" s="1868"/>
      <c r="F757" s="1868"/>
      <c r="G757" s="1868"/>
      <c r="H757" s="1868"/>
      <c r="I757" s="1868"/>
      <c r="J757" s="1868"/>
      <c r="K757" s="1868"/>
      <c r="L757" s="1868"/>
      <c r="M757" s="1868"/>
      <c r="N757" s="1868"/>
      <c r="O757" s="1868"/>
      <c r="P757" s="1868"/>
      <c r="Q757" s="1868"/>
      <c r="R757" s="1868"/>
      <c r="S757" s="1868"/>
      <c r="T757" s="1868"/>
      <c r="U757" s="1868"/>
      <c r="V757" s="1868"/>
      <c r="W757" s="1868"/>
      <c r="X757" s="1868"/>
      <c r="Y757" s="1868"/>
      <c r="Z757" s="1868"/>
      <c r="AA757" s="1868"/>
      <c r="AB757" s="1868"/>
      <c r="AC757" s="1868"/>
      <c r="AD757" s="1868"/>
      <c r="AE757" s="1868"/>
      <c r="AF757" s="1868"/>
      <c r="AG757" s="1868"/>
      <c r="AH757" s="1868"/>
      <c r="AI757" s="1868"/>
      <c r="AJ757" s="1868"/>
      <c r="AK757" s="1868"/>
      <c r="AL757" s="1868"/>
      <c r="AM757" s="186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7"/>
      <c r="C758" s="1868"/>
      <c r="D758" s="1868"/>
      <c r="E758" s="1868"/>
      <c r="F758" s="1868"/>
      <c r="G758" s="1868"/>
      <c r="H758" s="1868"/>
      <c r="I758" s="1868"/>
      <c r="J758" s="1868"/>
      <c r="K758" s="1868"/>
      <c r="L758" s="1868"/>
      <c r="M758" s="1868"/>
      <c r="N758" s="1868"/>
      <c r="O758" s="1868"/>
      <c r="P758" s="1868"/>
      <c r="Q758" s="1868"/>
      <c r="R758" s="1868"/>
      <c r="S758" s="1868"/>
      <c r="T758" s="1868"/>
      <c r="U758" s="1868"/>
      <c r="V758" s="1868"/>
      <c r="W758" s="1868"/>
      <c r="X758" s="1868"/>
      <c r="Y758" s="1868"/>
      <c r="Z758" s="1868"/>
      <c r="AA758" s="1868"/>
      <c r="AB758" s="1868"/>
      <c r="AC758" s="1868"/>
      <c r="AD758" s="1868"/>
      <c r="AE758" s="1868"/>
      <c r="AF758" s="1868"/>
      <c r="AG758" s="1868"/>
      <c r="AH758" s="1868"/>
      <c r="AI758" s="1868"/>
      <c r="AJ758" s="1868"/>
      <c r="AK758" s="1868"/>
      <c r="AL758" s="1868"/>
      <c r="AM758" s="186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118" t="s">
        <v>2177</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1" t="s">
        <v>599</v>
      </c>
      <c r="AE759" s="1871"/>
      <c r="AF759" s="187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1067"/>
      <c r="C763" s="1272" t="s">
        <v>2403</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1067"/>
      <c r="C766" s="1272" t="s">
        <v>2404</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397" t="s">
        <v>390</v>
      </c>
      <c r="K769" s="1382"/>
      <c r="L769" s="1382"/>
      <c r="M769" s="1382"/>
      <c r="N769" s="1383"/>
      <c r="O769" s="1782" t="s">
        <v>286</v>
      </c>
      <c r="P769" s="1782"/>
      <c r="Q769" s="1782"/>
      <c r="R769" s="1782"/>
      <c r="S769" s="1782"/>
      <c r="T769" s="1408" t="s">
        <v>1865</v>
      </c>
      <c r="U769" s="1409"/>
      <c r="V769" s="1409"/>
      <c r="W769" s="1410"/>
      <c r="X769" s="1397" t="s">
        <v>455</v>
      </c>
      <c r="Y769" s="1382"/>
      <c r="Z769" s="1382"/>
      <c r="AA769" s="1382"/>
      <c r="AB769" s="1383"/>
      <c r="AC769" s="1397" t="s">
        <v>287</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384"/>
      <c r="K770" s="1385"/>
      <c r="L770" s="1385"/>
      <c r="M770" s="1385"/>
      <c r="N770" s="1386"/>
      <c r="O770" s="1782"/>
      <c r="P770" s="1782"/>
      <c r="Q770" s="1782"/>
      <c r="R770" s="1782"/>
      <c r="S770" s="1782"/>
      <c r="T770" s="1411"/>
      <c r="U770" s="1412"/>
      <c r="V770" s="1412"/>
      <c r="W770" s="1413"/>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384"/>
      <c r="K771" s="1385"/>
      <c r="L771" s="1385"/>
      <c r="M771" s="1385"/>
      <c r="N771" s="1386"/>
      <c r="O771" s="1782"/>
      <c r="P771" s="1782"/>
      <c r="Q771" s="1782"/>
      <c r="R771" s="1782"/>
      <c r="S771" s="1782"/>
      <c r="T771" s="1411"/>
      <c r="U771" s="1412"/>
      <c r="V771" s="1412"/>
      <c r="W771" s="1413"/>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387"/>
      <c r="K772" s="1388"/>
      <c r="L772" s="1388"/>
      <c r="M772" s="1388"/>
      <c r="N772" s="1389"/>
      <c r="O772" s="1782"/>
      <c r="P772" s="1782"/>
      <c r="Q772" s="1782"/>
      <c r="R772" s="1782"/>
      <c r="S772" s="1782"/>
      <c r="T772" s="1585"/>
      <c r="U772" s="1586"/>
      <c r="V772" s="1586"/>
      <c r="W772" s="1587"/>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365" t="s">
        <v>163</v>
      </c>
      <c r="K773" s="1366"/>
      <c r="L773" s="1366"/>
      <c r="M773" s="1366"/>
      <c r="N773" s="1367"/>
      <c r="O773" s="1489">
        <v>1</v>
      </c>
      <c r="P773" s="1489"/>
      <c r="Q773" s="1489"/>
      <c r="R773" s="1489"/>
      <c r="S773" s="1489"/>
      <c r="T773" s="1390">
        <v>883</v>
      </c>
      <c r="U773" s="1391"/>
      <c r="V773" s="1391"/>
      <c r="W773" s="1392"/>
      <c r="X773" s="1355"/>
      <c r="Y773" s="1356"/>
      <c r="Z773" s="1356"/>
      <c r="AA773" s="1356"/>
      <c r="AB773" s="1357"/>
      <c r="AC773" s="1378">
        <f>X773*O773</f>
        <v>0</v>
      </c>
      <c r="AD773" s="1379"/>
      <c r="AE773" s="1379"/>
      <c r="AF773" s="1379"/>
      <c r="AG773" s="138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365" t="s">
        <v>164</v>
      </c>
      <c r="K774" s="1366"/>
      <c r="L774" s="1366"/>
      <c r="M774" s="1366"/>
      <c r="N774" s="1367"/>
      <c r="O774" s="1489">
        <v>1</v>
      </c>
      <c r="P774" s="1489"/>
      <c r="Q774" s="1489"/>
      <c r="R774" s="1489"/>
      <c r="S774" s="1489"/>
      <c r="T774" s="1390">
        <v>1168</v>
      </c>
      <c r="U774" s="1391"/>
      <c r="V774" s="1391"/>
      <c r="W774" s="1392"/>
      <c r="X774" s="1355"/>
      <c r="Y774" s="1356"/>
      <c r="Z774" s="1356"/>
      <c r="AA774" s="1356"/>
      <c r="AB774" s="1357"/>
      <c r="AC774" s="1378">
        <f>X774*O774</f>
        <v>0</v>
      </c>
      <c r="AD774" s="1379"/>
      <c r="AE774" s="1379"/>
      <c r="AF774" s="1379"/>
      <c r="AG774" s="138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365"/>
      <c r="K775" s="1366"/>
      <c r="L775" s="1366"/>
      <c r="M775" s="1366"/>
      <c r="N775" s="1367"/>
      <c r="O775" s="1489"/>
      <c r="P775" s="1489"/>
      <c r="Q775" s="1489"/>
      <c r="R775" s="1489"/>
      <c r="S775" s="1489"/>
      <c r="T775" s="1390"/>
      <c r="U775" s="1391"/>
      <c r="V775" s="1391"/>
      <c r="W775" s="1392"/>
      <c r="X775" s="1355"/>
      <c r="Y775" s="1356"/>
      <c r="Z775" s="1356"/>
      <c r="AA775" s="1356"/>
      <c r="AB775" s="1357"/>
      <c r="AC775" s="1378">
        <f>X775*O775</f>
        <v>0</v>
      </c>
      <c r="AD775" s="1379"/>
      <c r="AE775" s="1379"/>
      <c r="AF775" s="1379"/>
      <c r="AG775" s="138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365"/>
      <c r="K776" s="1366"/>
      <c r="L776" s="1366"/>
      <c r="M776" s="1366"/>
      <c r="N776" s="1367"/>
      <c r="O776" s="1489"/>
      <c r="P776" s="1489"/>
      <c r="Q776" s="1489"/>
      <c r="R776" s="1489"/>
      <c r="S776" s="1489"/>
      <c r="T776" s="1390"/>
      <c r="U776" s="1391"/>
      <c r="V776" s="1391"/>
      <c r="W776" s="1392"/>
      <c r="X776" s="1355"/>
      <c r="Y776" s="1356"/>
      <c r="Z776" s="1356"/>
      <c r="AA776" s="1356"/>
      <c r="AB776" s="1357"/>
      <c r="AC776" s="1378">
        <f>X776*O776</f>
        <v>0</v>
      </c>
      <c r="AD776" s="1379"/>
      <c r="AE776" s="1379"/>
      <c r="AF776" s="1379"/>
      <c r="AG776" s="138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594" t="s">
        <v>125</v>
      </c>
      <c r="K777" s="1595"/>
      <c r="L777" s="1595"/>
      <c r="M777" s="1595"/>
      <c r="N777" s="1596"/>
      <c r="O777" s="1404">
        <f>SUM(O773:S776)</f>
        <v>2</v>
      </c>
      <c r="P777" s="1500"/>
      <c r="Q777" s="1500"/>
      <c r="R777" s="1500"/>
      <c r="S777" s="1405"/>
      <c r="X777" s="1594" t="s">
        <v>124</v>
      </c>
      <c r="Y777" s="1595"/>
      <c r="Z777" s="1595"/>
      <c r="AA777" s="1595"/>
      <c r="AB777" s="1596"/>
      <c r="AC777" s="1378">
        <f>SUM(AC773:AG776)</f>
        <v>0</v>
      </c>
      <c r="AD777" s="1379"/>
      <c r="AE777" s="1379"/>
      <c r="AF777" s="1379"/>
      <c r="AG777" s="138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56"/>
      <c r="C779" s="56"/>
      <c r="D779" s="56"/>
      <c r="E779" s="56"/>
      <c r="F779" s="56"/>
      <c r="G779" s="6"/>
      <c r="H779" s="6"/>
      <c r="I779" s="6"/>
      <c r="J779" s="1468" t="s">
        <v>677</v>
      </c>
      <c r="K779" s="1468"/>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397" t="s">
        <v>390</v>
      </c>
      <c r="K783" s="1382"/>
      <c r="L783" s="1382"/>
      <c r="M783" s="1382"/>
      <c r="N783" s="1383"/>
      <c r="O783" s="1782" t="s">
        <v>286</v>
      </c>
      <c r="P783" s="1782"/>
      <c r="Q783" s="1782"/>
      <c r="R783" s="1782"/>
      <c r="S783" s="1782"/>
      <c r="T783" s="1408" t="s">
        <v>1865</v>
      </c>
      <c r="U783" s="1409"/>
      <c r="V783" s="1409"/>
      <c r="W783" s="1410"/>
      <c r="X783" s="1397" t="s">
        <v>455</v>
      </c>
      <c r="Y783" s="1382"/>
      <c r="Z783" s="1382"/>
      <c r="AA783" s="1382"/>
      <c r="AB783" s="1383"/>
      <c r="AC783" s="1397" t="s">
        <v>287</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384"/>
      <c r="K784" s="1385"/>
      <c r="L784" s="1385"/>
      <c r="M784" s="1385"/>
      <c r="N784" s="1386"/>
      <c r="O784" s="1782"/>
      <c r="P784" s="1782"/>
      <c r="Q784" s="1782"/>
      <c r="R784" s="1782"/>
      <c r="S784" s="1782"/>
      <c r="T784" s="1411"/>
      <c r="U784" s="1412"/>
      <c r="V784" s="1412"/>
      <c r="W784" s="1413"/>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384"/>
      <c r="K785" s="1385"/>
      <c r="L785" s="1385"/>
      <c r="M785" s="1385"/>
      <c r="N785" s="1386"/>
      <c r="O785" s="1782"/>
      <c r="P785" s="1782"/>
      <c r="Q785" s="1782"/>
      <c r="R785" s="1782"/>
      <c r="S785" s="1782"/>
      <c r="T785" s="1411"/>
      <c r="U785" s="1412"/>
      <c r="V785" s="1412"/>
      <c r="W785" s="1413"/>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387"/>
      <c r="K786" s="1388"/>
      <c r="L786" s="1388"/>
      <c r="M786" s="1388"/>
      <c r="N786" s="1389"/>
      <c r="O786" s="1782"/>
      <c r="P786" s="1782"/>
      <c r="Q786" s="1782"/>
      <c r="R786" s="1782"/>
      <c r="S786" s="1782"/>
      <c r="T786" s="1585"/>
      <c r="U786" s="1586"/>
      <c r="V786" s="1586"/>
      <c r="W786" s="1587"/>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365"/>
      <c r="K787" s="1366"/>
      <c r="L787" s="1366"/>
      <c r="M787" s="1366"/>
      <c r="N787" s="1367"/>
      <c r="O787" s="1489"/>
      <c r="P787" s="1489"/>
      <c r="Q787" s="1489"/>
      <c r="R787" s="1489"/>
      <c r="S787" s="1489"/>
      <c r="T787" s="1390"/>
      <c r="U787" s="1391"/>
      <c r="V787" s="1391"/>
      <c r="W787" s="1392"/>
      <c r="X787" s="1355"/>
      <c r="Y787" s="1356"/>
      <c r="Z787" s="1356"/>
      <c r="AA787" s="1356"/>
      <c r="AB787" s="1357"/>
      <c r="AC787" s="1378">
        <f t="shared" ref="AC787:AC796" si="62">X787*O787</f>
        <v>0</v>
      </c>
      <c r="AD787" s="1379"/>
      <c r="AE787" s="1379"/>
      <c r="AF787" s="1379"/>
      <c r="AG787" s="138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365"/>
      <c r="K788" s="1366"/>
      <c r="L788" s="1366"/>
      <c r="M788" s="1366"/>
      <c r="N788" s="1367"/>
      <c r="O788" s="1489"/>
      <c r="P788" s="1489"/>
      <c r="Q788" s="1489"/>
      <c r="R788" s="1489"/>
      <c r="S788" s="1489"/>
      <c r="T788" s="1390"/>
      <c r="U788" s="1391"/>
      <c r="V788" s="1391"/>
      <c r="W788" s="1392"/>
      <c r="X788" s="1355"/>
      <c r="Y788" s="1356"/>
      <c r="Z788" s="1356"/>
      <c r="AA788" s="1356"/>
      <c r="AB788" s="1357"/>
      <c r="AC788" s="1378">
        <f t="shared" si="62"/>
        <v>0</v>
      </c>
      <c r="AD788" s="1379"/>
      <c r="AE788" s="1379"/>
      <c r="AF788" s="1379"/>
      <c r="AG788" s="138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365"/>
      <c r="K789" s="1366"/>
      <c r="L789" s="1366"/>
      <c r="M789" s="1366"/>
      <c r="N789" s="1367"/>
      <c r="O789" s="1489"/>
      <c r="P789" s="1489"/>
      <c r="Q789" s="1489"/>
      <c r="R789" s="1489"/>
      <c r="S789" s="1489"/>
      <c r="T789" s="1390"/>
      <c r="U789" s="1391"/>
      <c r="V789" s="1391"/>
      <c r="W789" s="1392"/>
      <c r="X789" s="1355"/>
      <c r="Y789" s="1356"/>
      <c r="Z789" s="1356"/>
      <c r="AA789" s="1356"/>
      <c r="AB789" s="1357"/>
      <c r="AC789" s="1378">
        <f t="shared" si="62"/>
        <v>0</v>
      </c>
      <c r="AD789" s="1379"/>
      <c r="AE789" s="1379"/>
      <c r="AF789" s="1379"/>
      <c r="AG789" s="138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365"/>
      <c r="K790" s="1366"/>
      <c r="L790" s="1366"/>
      <c r="M790" s="1366"/>
      <c r="N790" s="1367"/>
      <c r="O790" s="1489"/>
      <c r="P790" s="1489"/>
      <c r="Q790" s="1489"/>
      <c r="R790" s="1489"/>
      <c r="S790" s="1489"/>
      <c r="T790" s="1390"/>
      <c r="U790" s="1391"/>
      <c r="V790" s="1391"/>
      <c r="W790" s="1392"/>
      <c r="X790" s="1355"/>
      <c r="Y790" s="1356"/>
      <c r="Z790" s="1356"/>
      <c r="AA790" s="1356"/>
      <c r="AB790" s="1357"/>
      <c r="AC790" s="1378">
        <f t="shared" si="62"/>
        <v>0</v>
      </c>
      <c r="AD790" s="1379"/>
      <c r="AE790" s="1379"/>
      <c r="AF790" s="1379"/>
      <c r="AG790" s="138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365"/>
      <c r="K791" s="1366"/>
      <c r="L791" s="1366"/>
      <c r="M791" s="1366"/>
      <c r="N791" s="1367"/>
      <c r="O791" s="1489"/>
      <c r="P791" s="1489"/>
      <c r="Q791" s="1489"/>
      <c r="R791" s="1489"/>
      <c r="S791" s="1489"/>
      <c r="T791" s="1390"/>
      <c r="U791" s="1391"/>
      <c r="V791" s="1391"/>
      <c r="W791" s="1392"/>
      <c r="X791" s="1355"/>
      <c r="Y791" s="1356"/>
      <c r="Z791" s="1356"/>
      <c r="AA791" s="1356"/>
      <c r="AB791" s="1357"/>
      <c r="AC791" s="1378">
        <f t="shared" si="62"/>
        <v>0</v>
      </c>
      <c r="AD791" s="1379"/>
      <c r="AE791" s="1379"/>
      <c r="AF791" s="1379"/>
      <c r="AG791" s="138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365"/>
      <c r="K792" s="1366"/>
      <c r="L792" s="1366"/>
      <c r="M792" s="1366"/>
      <c r="N792" s="1367"/>
      <c r="O792" s="1489"/>
      <c r="P792" s="1489"/>
      <c r="Q792" s="1489"/>
      <c r="R792" s="1489"/>
      <c r="S792" s="1489"/>
      <c r="T792" s="1390"/>
      <c r="U792" s="1391"/>
      <c r="V792" s="1391"/>
      <c r="W792" s="1392"/>
      <c r="X792" s="1355"/>
      <c r="Y792" s="1356"/>
      <c r="Z792" s="1356"/>
      <c r="AA792" s="1356"/>
      <c r="AB792" s="1357"/>
      <c r="AC792" s="1378">
        <f t="shared" si="62"/>
        <v>0</v>
      </c>
      <c r="AD792" s="1379"/>
      <c r="AE792" s="1379"/>
      <c r="AF792" s="1379"/>
      <c r="AG792" s="138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365"/>
      <c r="K793" s="1366"/>
      <c r="L793" s="1366"/>
      <c r="M793" s="1366"/>
      <c r="N793" s="1367"/>
      <c r="O793" s="1489"/>
      <c r="P793" s="1489"/>
      <c r="Q793" s="1489"/>
      <c r="R793" s="1489"/>
      <c r="S793" s="1489"/>
      <c r="T793" s="1390"/>
      <c r="U793" s="1391"/>
      <c r="V793" s="1391"/>
      <c r="W793" s="1392"/>
      <c r="X793" s="1355"/>
      <c r="Y793" s="1356"/>
      <c r="Z793" s="1356"/>
      <c r="AA793" s="1356"/>
      <c r="AB793" s="1357"/>
      <c r="AC793" s="1378">
        <f t="shared" si="62"/>
        <v>0</v>
      </c>
      <c r="AD793" s="1379"/>
      <c r="AE793" s="1379"/>
      <c r="AF793" s="1379"/>
      <c r="AG793" s="138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365"/>
      <c r="K794" s="1366"/>
      <c r="L794" s="1366"/>
      <c r="M794" s="1366"/>
      <c r="N794" s="1367"/>
      <c r="O794" s="1489"/>
      <c r="P794" s="1489"/>
      <c r="Q794" s="1489"/>
      <c r="R794" s="1489"/>
      <c r="S794" s="1489"/>
      <c r="T794" s="1390"/>
      <c r="U794" s="1391"/>
      <c r="V794" s="1391"/>
      <c r="W794" s="1392"/>
      <c r="X794" s="1355"/>
      <c r="Y794" s="1356"/>
      <c r="Z794" s="1356"/>
      <c r="AA794" s="1356"/>
      <c r="AB794" s="1357"/>
      <c r="AC794" s="1378">
        <f t="shared" si="62"/>
        <v>0</v>
      </c>
      <c r="AD794" s="1379"/>
      <c r="AE794" s="1379"/>
      <c r="AF794" s="1379"/>
      <c r="AG794" s="138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365"/>
      <c r="K795" s="1366"/>
      <c r="L795" s="1366"/>
      <c r="M795" s="1366"/>
      <c r="N795" s="1367"/>
      <c r="O795" s="1489"/>
      <c r="P795" s="1489"/>
      <c r="Q795" s="1489"/>
      <c r="R795" s="1489"/>
      <c r="S795" s="1489"/>
      <c r="T795" s="1390"/>
      <c r="U795" s="1391"/>
      <c r="V795" s="1391"/>
      <c r="W795" s="1392"/>
      <c r="X795" s="1355"/>
      <c r="Y795" s="1356"/>
      <c r="Z795" s="1356"/>
      <c r="AA795" s="1356"/>
      <c r="AB795" s="1357"/>
      <c r="AC795" s="1378">
        <f t="shared" si="62"/>
        <v>0</v>
      </c>
      <c r="AD795" s="1379"/>
      <c r="AE795" s="1379"/>
      <c r="AF795" s="1379"/>
      <c r="AG795" s="138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365"/>
      <c r="K796" s="1366"/>
      <c r="L796" s="1366"/>
      <c r="M796" s="1366"/>
      <c r="N796" s="1367"/>
      <c r="O796" s="1489"/>
      <c r="P796" s="1489"/>
      <c r="Q796" s="1489"/>
      <c r="R796" s="1489"/>
      <c r="S796" s="1489"/>
      <c r="T796" s="1390"/>
      <c r="U796" s="1391"/>
      <c r="V796" s="1391"/>
      <c r="W796" s="1392"/>
      <c r="X796" s="1355"/>
      <c r="Y796" s="1356"/>
      <c r="Z796" s="1356"/>
      <c r="AA796" s="1356"/>
      <c r="AB796" s="1357"/>
      <c r="AC796" s="1378">
        <f t="shared" si="62"/>
        <v>0</v>
      </c>
      <c r="AD796" s="1379"/>
      <c r="AE796" s="1379"/>
      <c r="AF796" s="1379"/>
      <c r="AG796" s="1380"/>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43" t="s">
        <v>477</v>
      </c>
      <c r="BO796" s="1744"/>
      <c r="BP796" s="3"/>
      <c r="BQ796" s="3"/>
      <c r="BR796" s="3"/>
      <c r="BS796" s="14" t="s">
        <v>642</v>
      </c>
      <c r="BT796" s="14"/>
      <c r="BU796" s="14"/>
      <c r="BV796" s="14"/>
      <c r="BW796" s="14"/>
      <c r="BX796" s="14"/>
      <c r="BY796" s="14"/>
      <c r="BZ796" s="14"/>
      <c r="CA796" s="14"/>
      <c r="CB796" s="1740" t="str">
        <f>T189</f>
        <v>Ventura</v>
      </c>
      <c r="CC796" s="1741"/>
      <c r="CD796" s="1741"/>
      <c r="CE796" s="1741"/>
      <c r="CF796" s="1741"/>
      <c r="CG796" s="1741"/>
      <c r="CH796" s="174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594" t="s">
        <v>125</v>
      </c>
      <c r="K797" s="1595"/>
      <c r="L797" s="1595"/>
      <c r="M797" s="1595"/>
      <c r="N797" s="1596"/>
      <c r="O797" s="1608">
        <f>SUM(O787:S796)</f>
        <v>0</v>
      </c>
      <c r="P797" s="1608"/>
      <c r="Q797" s="1608"/>
      <c r="R797" s="1608"/>
      <c r="S797" s="1608"/>
      <c r="T797"/>
      <c r="U797"/>
      <c r="V797"/>
      <c r="W797"/>
      <c r="X797" s="937" t="s">
        <v>124</v>
      </c>
      <c r="Y797" s="11"/>
      <c r="Z797" s="11"/>
      <c r="AA797" s="11"/>
      <c r="AB797" s="944"/>
      <c r="AC797" s="1378">
        <f>SUM(AC787:AG796)</f>
        <v>0</v>
      </c>
      <c r="AD797" s="1379"/>
      <c r="AE797" s="1379"/>
      <c r="AF797" s="1379"/>
      <c r="AG797" s="138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474" t="str">
        <f>IF(O797&lt;&gt;AG438,"! Total market rate units in the Unit Mix Table above does not match the number of  market rate units on row #"&amp;TEXT(ROW(D438),"#"),"")</f>
        <v/>
      </c>
      <c r="D798" s="1474"/>
      <c r="E798" s="1474"/>
      <c r="F798" s="1474"/>
      <c r="G798" s="1474"/>
      <c r="H798" s="1474"/>
      <c r="I798" s="1474"/>
      <c r="J798" s="1474"/>
      <c r="K798" s="1474"/>
      <c r="L798" s="1474"/>
      <c r="M798" s="1474"/>
      <c r="N798" s="1474"/>
      <c r="O798" s="1474"/>
      <c r="P798" s="1474"/>
      <c r="Q798" s="1474"/>
      <c r="R798" s="1474"/>
      <c r="S798" s="1474"/>
      <c r="T798" s="1474"/>
      <c r="U798" s="1474"/>
      <c r="V798" s="1474"/>
      <c r="W798" s="1474"/>
      <c r="X798" s="1474"/>
      <c r="Y798" s="1474"/>
      <c r="Z798" s="1474"/>
      <c r="AA798" s="1474"/>
      <c r="AB798" s="1474"/>
      <c r="AC798" s="1474"/>
      <c r="AD798" s="1474"/>
      <c r="AE798" s="1474"/>
      <c r="AF798" s="1474"/>
      <c r="AG798" s="1474"/>
      <c r="AH798" s="1474"/>
      <c r="AI798" s="1474"/>
      <c r="AJ798" s="1474"/>
      <c r="AK798" s="1474"/>
      <c r="AL798" s="1474"/>
      <c r="AM798" s="1474"/>
      <c r="AN798" s="147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474"/>
      <c r="D799" s="1474"/>
      <c r="E799" s="1474"/>
      <c r="F799" s="1474"/>
      <c r="G799" s="1474"/>
      <c r="H799" s="1474"/>
      <c r="I799" s="1474"/>
      <c r="J799" s="1474"/>
      <c r="K799" s="1474"/>
      <c r="L799" s="1474"/>
      <c r="M799" s="1474"/>
      <c r="N799" s="1474"/>
      <c r="O799" s="1474"/>
      <c r="P799" s="1474"/>
      <c r="Q799" s="1474"/>
      <c r="R799" s="1474"/>
      <c r="S799" s="1474"/>
      <c r="T799" s="1474"/>
      <c r="U799" s="1474"/>
      <c r="V799" s="1474"/>
      <c r="W799" s="1474"/>
      <c r="X799" s="1474"/>
      <c r="Y799" s="1474"/>
      <c r="Z799" s="1474"/>
      <c r="AA799" s="1474"/>
      <c r="AB799" s="1474"/>
      <c r="AC799" s="1474"/>
      <c r="AD799" s="1474"/>
      <c r="AE799" s="1474"/>
      <c r="AF799" s="1474"/>
      <c r="AG799" s="1474"/>
      <c r="AH799" s="1474"/>
      <c r="AI799" s="1474"/>
      <c r="AJ799" s="1474"/>
      <c r="AK799" s="1474"/>
      <c r="AL799" s="1474"/>
      <c r="AM799" s="1474"/>
      <c r="AN799" s="147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593">
        <f>O753+AC777+AC797</f>
        <v>279007</v>
      </c>
      <c r="Z800" s="1593"/>
      <c r="AA800" s="1593"/>
      <c r="AB800" s="1593"/>
      <c r="AC800" s="159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3">
        <f>(O753+AC777+AC797)*12</f>
        <v>3348084</v>
      </c>
      <c r="Z801" s="1593"/>
      <c r="AA801" s="1593"/>
      <c r="AB801" s="1593"/>
      <c r="AC801" s="159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589">
        <v>8</v>
      </c>
      <c r="AA806" s="1583"/>
      <c r="AB806" s="1583"/>
      <c r="AC806" s="1583"/>
      <c r="AD806" s="1583"/>
      <c r="AE806" s="158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82">
        <v>20</v>
      </c>
      <c r="AA807" s="1583"/>
      <c r="AB807" s="1583"/>
      <c r="AC807" s="1583"/>
      <c r="AD807" s="1583"/>
      <c r="AE807" s="158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5" t="s">
        <v>2762</v>
      </c>
      <c r="AA808" s="1606"/>
      <c r="AB808" s="1606"/>
      <c r="AC808" s="1606"/>
      <c r="AD808" s="1606"/>
      <c r="AE808" s="160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0">
        <f>'Subsidy Contract Calculation'!J40</f>
        <v>214224</v>
      </c>
      <c r="AA809" s="1611"/>
      <c r="AB809" s="1611"/>
      <c r="AC809" s="1611"/>
      <c r="AD809" s="1611"/>
      <c r="AE809" s="161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90"/>
      <c r="AA813" s="1591"/>
      <c r="AB813" s="1591"/>
      <c r="AC813" s="1591"/>
      <c r="AD813" s="1591"/>
      <c r="AE813" s="159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90"/>
      <c r="AA814" s="1591"/>
      <c r="AB814" s="1591"/>
      <c r="AC814" s="1591"/>
      <c r="AD814" s="1591"/>
      <c r="AE814" s="159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90"/>
      <c r="AA815" s="1591"/>
      <c r="AB815" s="1591"/>
      <c r="AC815" s="1591"/>
      <c r="AD815" s="1591"/>
      <c r="AE815" s="159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 customHeight="1">
      <c r="A816"/>
      <c r="B816"/>
      <c r="C816"/>
      <c r="D816"/>
      <c r="E816"/>
      <c r="F816"/>
      <c r="G816"/>
      <c r="H816" s="45" t="s">
        <v>39</v>
      </c>
      <c r="I816" s="5"/>
      <c r="J816" s="5"/>
      <c r="K816" s="5"/>
      <c r="L816" s="5"/>
      <c r="M816" s="5"/>
      <c r="N816" s="5"/>
      <c r="O816" s="5"/>
      <c r="P816" s="1602" t="s">
        <v>335</v>
      </c>
      <c r="Q816" s="1603"/>
      <c r="R816" s="1603"/>
      <c r="S816" s="1603"/>
      <c r="T816" s="1603"/>
      <c r="U816" s="1603"/>
      <c r="V816" s="1603"/>
      <c r="W816" s="1603"/>
      <c r="X816" s="1603"/>
      <c r="Y816" s="1604"/>
      <c r="Z816" s="1590"/>
      <c r="AA816" s="1591"/>
      <c r="AB816" s="1591"/>
      <c r="AC816" s="1591"/>
      <c r="AD816" s="1591"/>
      <c r="AE816" s="159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0">
        <f>SUM(Z813:AE816)</f>
        <v>0</v>
      </c>
      <c r="AA817" s="1611"/>
      <c r="AB817" s="1611"/>
      <c r="AC817" s="1611"/>
      <c r="AD817" s="1611"/>
      <c r="AE817" s="161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10">
        <f>Z817+Y801+Z809</f>
        <v>3562308</v>
      </c>
      <c r="AA818" s="1611"/>
      <c r="AB818" s="1611"/>
      <c r="AC818" s="1611"/>
      <c r="AD818" s="1611"/>
      <c r="AE818" s="161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 customHeight="1">
      <c r="A823"/>
      <c r="B823"/>
      <c r="C823" s="41"/>
      <c r="D823" s="42"/>
      <c r="E823" s="42"/>
      <c r="F823" s="42"/>
      <c r="G823" s="42"/>
      <c r="H823" s="42"/>
      <c r="I823" s="42"/>
      <c r="J823" s="42"/>
      <c r="K823" s="42"/>
      <c r="L823" s="58"/>
      <c r="M823" s="1597" t="s">
        <v>126</v>
      </c>
      <c r="N823" s="1597"/>
      <c r="O823" s="1597"/>
      <c r="P823" s="1598"/>
      <c r="Q823" s="1588" t="s">
        <v>291</v>
      </c>
      <c r="R823" s="1588"/>
      <c r="S823" s="1588"/>
      <c r="T823" s="1588"/>
      <c r="U823" s="1588" t="s">
        <v>292</v>
      </c>
      <c r="V823" s="1588"/>
      <c r="W823" s="1588"/>
      <c r="X823" s="1588"/>
      <c r="Y823" s="1588" t="s">
        <v>293</v>
      </c>
      <c r="Z823" s="1588"/>
      <c r="AA823" s="1588"/>
      <c r="AB823" s="1588"/>
      <c r="AC823" s="1588" t="s">
        <v>362</v>
      </c>
      <c r="AD823" s="1588"/>
      <c r="AE823" s="1588"/>
      <c r="AF823" s="1588"/>
      <c r="AG823" s="1614" t="s">
        <v>336</v>
      </c>
      <c r="AH823" s="1614"/>
      <c r="AI823" s="1614"/>
      <c r="AJ823" s="161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 customHeight="1">
      <c r="A824"/>
      <c r="B824"/>
      <c r="C824" s="47"/>
      <c r="D824" s="48"/>
      <c r="E824" s="48"/>
      <c r="F824" s="48"/>
      <c r="G824" s="48"/>
      <c r="H824" s="48"/>
      <c r="I824" s="48"/>
      <c r="J824" s="48"/>
      <c r="K824" s="48"/>
      <c r="L824" s="49"/>
      <c r="M824" s="1599"/>
      <c r="N824" s="1599"/>
      <c r="O824" s="1599"/>
      <c r="P824" s="1600"/>
      <c r="Q824" s="1588"/>
      <c r="R824" s="1588"/>
      <c r="S824" s="1588"/>
      <c r="T824" s="1588"/>
      <c r="U824" s="1588"/>
      <c r="V824" s="1588"/>
      <c r="W824" s="1588"/>
      <c r="X824" s="1588"/>
      <c r="Y824" s="1588"/>
      <c r="Z824" s="1588"/>
      <c r="AA824" s="1588"/>
      <c r="AB824" s="1588"/>
      <c r="AC824" s="1588"/>
      <c r="AD824" s="1588"/>
      <c r="AE824" s="1588"/>
      <c r="AF824" s="1588"/>
      <c r="AG824" s="1614"/>
      <c r="AH824" s="1614"/>
      <c r="AI824" s="1614"/>
      <c r="AJ824" s="1614"/>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 customHeight="1">
      <c r="A825"/>
      <c r="B825"/>
      <c r="C825" s="1581" t="s">
        <v>40</v>
      </c>
      <c r="D825" s="1375"/>
      <c r="E825" s="1375"/>
      <c r="F825" s="1375"/>
      <c r="G825" s="1375"/>
      <c r="H825" s="1375"/>
      <c r="I825" s="48"/>
      <c r="J825" s="48"/>
      <c r="K825" s="48"/>
      <c r="L825" s="49"/>
      <c r="M825" s="1575">
        <v>18</v>
      </c>
      <c r="N825" s="1575"/>
      <c r="O825" s="1575"/>
      <c r="P825" s="1575"/>
      <c r="Q825" s="1575">
        <v>22</v>
      </c>
      <c r="R825" s="1575"/>
      <c r="S825" s="1575"/>
      <c r="T825" s="1575"/>
      <c r="U825" s="1575">
        <v>27</v>
      </c>
      <c r="V825" s="1575"/>
      <c r="W825" s="1575"/>
      <c r="X825" s="1575"/>
      <c r="Y825" s="1575">
        <v>32</v>
      </c>
      <c r="Z825" s="1575"/>
      <c r="AA825" s="1575"/>
      <c r="AB825" s="1575"/>
      <c r="AC825" s="1577">
        <v>36</v>
      </c>
      <c r="AD825" s="1578"/>
      <c r="AE825" s="1578"/>
      <c r="AF825" s="1579"/>
      <c r="AG825" s="1577"/>
      <c r="AH825" s="1578"/>
      <c r="AI825" s="1578"/>
      <c r="AJ825" s="1579"/>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 customHeight="1">
      <c r="A826"/>
      <c r="B826"/>
      <c r="C826" s="1481" t="s">
        <v>41</v>
      </c>
      <c r="D826" s="1469"/>
      <c r="E826" s="1469"/>
      <c r="F826" s="1469"/>
      <c r="G826" s="1469"/>
      <c r="H826" s="1469"/>
      <c r="I826" s="5"/>
      <c r="J826" s="5"/>
      <c r="K826" s="5"/>
      <c r="L826" s="46"/>
      <c r="M826" s="1575"/>
      <c r="N826" s="1575"/>
      <c r="O826" s="1575"/>
      <c r="P826" s="1575"/>
      <c r="Q826" s="1575"/>
      <c r="R826" s="1575"/>
      <c r="S826" s="1575"/>
      <c r="T826" s="1575"/>
      <c r="U826" s="1575"/>
      <c r="V826" s="1575"/>
      <c r="W826" s="1575"/>
      <c r="X826" s="1575"/>
      <c r="Y826" s="1575"/>
      <c r="Z826" s="1575"/>
      <c r="AA826" s="1575"/>
      <c r="AB826" s="1575"/>
      <c r="AC826" s="1577"/>
      <c r="AD826" s="1578"/>
      <c r="AE826" s="1578"/>
      <c r="AF826" s="1579"/>
      <c r="AG826" s="1577"/>
      <c r="AH826" s="1578"/>
      <c r="AI826" s="1578"/>
      <c r="AJ826" s="1579"/>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 customHeight="1">
      <c r="A827"/>
      <c r="B827"/>
      <c r="C827" s="1481" t="s">
        <v>42</v>
      </c>
      <c r="D827" s="1469"/>
      <c r="E827" s="1469"/>
      <c r="F827" s="1469"/>
      <c r="G827" s="1469"/>
      <c r="H827" s="1469"/>
      <c r="I827" s="60"/>
      <c r="J827" s="60"/>
      <c r="K827" s="60"/>
      <c r="L827" s="61"/>
      <c r="M827" s="1575">
        <v>10</v>
      </c>
      <c r="N827" s="1575"/>
      <c r="O827" s="1575"/>
      <c r="P827" s="1575"/>
      <c r="Q827" s="1575">
        <v>11</v>
      </c>
      <c r="R827" s="1575"/>
      <c r="S827" s="1575"/>
      <c r="T827" s="1575"/>
      <c r="U827" s="1575">
        <v>16</v>
      </c>
      <c r="V827" s="1575"/>
      <c r="W827" s="1575"/>
      <c r="X827" s="1575"/>
      <c r="Y827" s="1575">
        <v>21</v>
      </c>
      <c r="Z827" s="1575"/>
      <c r="AA827" s="1575"/>
      <c r="AB827" s="1575"/>
      <c r="AC827" s="1577">
        <v>26</v>
      </c>
      <c r="AD827" s="1578"/>
      <c r="AE827" s="1578"/>
      <c r="AF827" s="1579"/>
      <c r="AG827" s="1577"/>
      <c r="AH827" s="1578"/>
      <c r="AI827" s="1578"/>
      <c r="AJ827" s="1579"/>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 customHeight="1">
      <c r="A828"/>
      <c r="B828"/>
      <c r="C828" s="1481" t="s">
        <v>771</v>
      </c>
      <c r="D828" s="1469"/>
      <c r="E828" s="1469"/>
      <c r="F828" s="1469"/>
      <c r="G828" s="1469"/>
      <c r="H828" s="1469"/>
      <c r="I828" s="60"/>
      <c r="J828" s="60"/>
      <c r="K828" s="60"/>
      <c r="L828" s="61"/>
      <c r="M828" s="1575"/>
      <c r="N828" s="1575"/>
      <c r="O828" s="1575"/>
      <c r="P828" s="1575"/>
      <c r="Q828" s="1575"/>
      <c r="R828" s="1575"/>
      <c r="S828" s="1575"/>
      <c r="T828" s="1575"/>
      <c r="U828" s="1575"/>
      <c r="V828" s="1575"/>
      <c r="W828" s="1575"/>
      <c r="X828" s="1575"/>
      <c r="Y828" s="1575"/>
      <c r="Z828" s="1575"/>
      <c r="AA828" s="1575"/>
      <c r="AB828" s="1575"/>
      <c r="AC828" s="1577"/>
      <c r="AD828" s="1578"/>
      <c r="AE828" s="1578"/>
      <c r="AF828" s="1579"/>
      <c r="AG828" s="1577"/>
      <c r="AH828" s="1578"/>
      <c r="AI828" s="1578"/>
      <c r="AJ828" s="1579"/>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 customHeight="1">
      <c r="A829"/>
      <c r="B829"/>
      <c r="C829" s="1481" t="s">
        <v>467</v>
      </c>
      <c r="D829" s="1469"/>
      <c r="E829" s="1469"/>
      <c r="F829" s="1469"/>
      <c r="G829" s="1469"/>
      <c r="H829" s="1469"/>
      <c r="I829" s="60"/>
      <c r="J829" s="60"/>
      <c r="K829" s="60"/>
      <c r="L829" s="61"/>
      <c r="M829" s="1575">
        <v>30</v>
      </c>
      <c r="N829" s="1575"/>
      <c r="O829" s="1575"/>
      <c r="P829" s="1575"/>
      <c r="Q829" s="1575">
        <v>36</v>
      </c>
      <c r="R829" s="1575"/>
      <c r="S829" s="1575"/>
      <c r="T829" s="1575"/>
      <c r="U829" s="1575">
        <v>53</v>
      </c>
      <c r="V829" s="1575"/>
      <c r="W829" s="1575"/>
      <c r="X829" s="1575"/>
      <c r="Y829" s="1575">
        <v>70</v>
      </c>
      <c r="Z829" s="1575"/>
      <c r="AA829" s="1575"/>
      <c r="AB829" s="1575"/>
      <c r="AC829" s="1577">
        <v>89</v>
      </c>
      <c r="AD829" s="1578"/>
      <c r="AE829" s="1578"/>
      <c r="AF829" s="1579"/>
      <c r="AG829" s="1577"/>
      <c r="AH829" s="1578"/>
      <c r="AI829" s="1578"/>
      <c r="AJ829" s="1579"/>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 customHeight="1">
      <c r="A830"/>
      <c r="B830"/>
      <c r="C830" s="1765" t="s">
        <v>792</v>
      </c>
      <c r="D830" s="1469"/>
      <c r="E830" s="1469"/>
      <c r="F830" s="1469"/>
      <c r="G830" s="1469"/>
      <c r="H830" s="1469"/>
      <c r="I830" s="60"/>
      <c r="J830" s="60"/>
      <c r="K830" s="60"/>
      <c r="L830" s="61"/>
      <c r="M830" s="1575"/>
      <c r="N830" s="1575"/>
      <c r="O830" s="1575"/>
      <c r="P830" s="1575"/>
      <c r="Q830" s="1575"/>
      <c r="R830" s="1575"/>
      <c r="S830" s="1575"/>
      <c r="T830" s="1575"/>
      <c r="U830" s="1575"/>
      <c r="V830" s="1575"/>
      <c r="W830" s="1575"/>
      <c r="X830" s="1575"/>
      <c r="Y830" s="1575"/>
      <c r="Z830" s="1575"/>
      <c r="AA830" s="1575"/>
      <c r="AB830" s="1575"/>
      <c r="AC830" s="1577"/>
      <c r="AD830" s="1578"/>
      <c r="AE830" s="1578"/>
      <c r="AF830" s="1579"/>
      <c r="AG830" s="1577"/>
      <c r="AH830" s="1578"/>
      <c r="AI830" s="1578"/>
      <c r="AJ830" s="1579"/>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 customHeight="1">
      <c r="A831"/>
      <c r="B831"/>
      <c r="C831" s="59" t="s">
        <v>294</v>
      </c>
      <c r="D831" s="60"/>
      <c r="E831" s="60"/>
      <c r="F831" s="1602"/>
      <c r="G831" s="1603"/>
      <c r="H831" s="1603"/>
      <c r="I831" s="1603"/>
      <c r="J831" s="1603"/>
      <c r="K831" s="1603"/>
      <c r="L831" s="1603"/>
      <c r="M831" s="1575"/>
      <c r="N831" s="1575"/>
      <c r="O831" s="1575"/>
      <c r="P831" s="1575"/>
      <c r="Q831" s="1575"/>
      <c r="R831" s="1575"/>
      <c r="S831" s="1575"/>
      <c r="T831" s="1575"/>
      <c r="U831" s="1575"/>
      <c r="V831" s="1575"/>
      <c r="W831" s="1575"/>
      <c r="X831" s="1575"/>
      <c r="Y831" s="1575"/>
      <c r="Z831" s="1575"/>
      <c r="AA831" s="1575"/>
      <c r="AB831" s="1575"/>
      <c r="AC831" s="1577"/>
      <c r="AD831" s="1578"/>
      <c r="AE831" s="1578"/>
      <c r="AF831" s="1579"/>
      <c r="AG831" s="1577"/>
      <c r="AH831" s="1578"/>
      <c r="AI831" s="1578"/>
      <c r="AJ831" s="1579"/>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 customHeight="1">
      <c r="A832"/>
      <c r="B832"/>
      <c r="C832" s="1594" t="s">
        <v>124</v>
      </c>
      <c r="D832" s="1595"/>
      <c r="E832" s="1595"/>
      <c r="F832" s="1595"/>
      <c r="G832" s="1595"/>
      <c r="H832" s="1595"/>
      <c r="I832" s="1595"/>
      <c r="J832" s="1595"/>
      <c r="K832" s="1595"/>
      <c r="L832" s="1596"/>
      <c r="M832" s="1609">
        <f>SUM(M825:P831)</f>
        <v>58</v>
      </c>
      <c r="N832" s="1609"/>
      <c r="O832" s="1609"/>
      <c r="P832" s="1609"/>
      <c r="Q832" s="1609">
        <f>SUM(Q825:T831)</f>
        <v>69</v>
      </c>
      <c r="R832" s="1609"/>
      <c r="S832" s="1609"/>
      <c r="T832" s="1609"/>
      <c r="U832" s="1609">
        <f>SUM(U825:X831)</f>
        <v>96</v>
      </c>
      <c r="V832" s="1609"/>
      <c r="W832" s="1609"/>
      <c r="X832" s="1609"/>
      <c r="Y832" s="1609">
        <f>SUM(Y825:AB831)</f>
        <v>123</v>
      </c>
      <c r="Z832" s="1609"/>
      <c r="AA832" s="1609"/>
      <c r="AB832" s="1609"/>
      <c r="AC832" s="1609">
        <f>SUM(AC825:AF831)</f>
        <v>151</v>
      </c>
      <c r="AD832" s="1609"/>
      <c r="AE832" s="1609"/>
      <c r="AF832" s="1609"/>
      <c r="AG832" s="1609">
        <f>SUM(AG825:AJ831)</f>
        <v>0</v>
      </c>
      <c r="AH832" s="1609"/>
      <c r="AI832" s="1609"/>
      <c r="AJ832" s="1609"/>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 customHeight="1">
      <c r="A837"/>
      <c r="B837"/>
      <c r="C837" s="1734" t="s">
        <v>2645</v>
      </c>
      <c r="D837" s="1735"/>
      <c r="E837" s="1735"/>
      <c r="F837" s="1735"/>
      <c r="G837" s="1735"/>
      <c r="H837" s="1735"/>
      <c r="I837" s="1735"/>
      <c r="J837" s="1735"/>
      <c r="K837" s="1735"/>
      <c r="L837" s="1735"/>
      <c r="M837" s="1735"/>
      <c r="N837" s="1735"/>
      <c r="O837" s="1735"/>
      <c r="P837" s="1735"/>
      <c r="Q837" s="1735"/>
      <c r="R837" s="1735"/>
      <c r="S837" s="1735"/>
      <c r="T837" s="1735"/>
      <c r="U837" s="1735"/>
      <c r="V837" s="1735"/>
      <c r="W837" s="1735"/>
      <c r="X837" s="1735"/>
      <c r="Y837" s="1735"/>
      <c r="Z837" s="1735"/>
      <c r="AA837" s="1735"/>
      <c r="AB837" s="1735"/>
      <c r="AC837" s="1735"/>
      <c r="AD837" s="1735"/>
      <c r="AE837" s="1735"/>
      <c r="AF837" s="1735"/>
      <c r="AG837" s="1735"/>
      <c r="AH837" s="1735"/>
      <c r="AI837" s="1735"/>
      <c r="AJ837" s="1736"/>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6">
        <f>ROUNDDOWN(BC939*2,2)</f>
        <v>0</v>
      </c>
      <c r="BJ841" s="1666"/>
      <c r="BK841" s="1666"/>
      <c r="BL841" s="1666"/>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 customHeight="1">
      <c r="A842"/>
      <c r="B842"/>
      <c r="C842" s="2" t="s">
        <v>344</v>
      </c>
      <c r="D842"/>
      <c r="E842"/>
      <c r="F842"/>
      <c r="G842"/>
      <c r="H842"/>
      <c r="I842"/>
      <c r="J842" s="45" t="s">
        <v>357</v>
      </c>
      <c r="K842" s="5"/>
      <c r="L842" s="5"/>
      <c r="M842" s="5"/>
      <c r="N842" s="5"/>
      <c r="O842" s="5"/>
      <c r="P842" s="5"/>
      <c r="Q842" s="5"/>
      <c r="R842" s="5"/>
      <c r="S842" s="5"/>
      <c r="T842" s="5"/>
      <c r="U842" s="5"/>
      <c r="V842" s="46"/>
      <c r="W842" s="1580">
        <v>3320</v>
      </c>
      <c r="X842" s="1580"/>
      <c r="Y842" s="1580"/>
      <c r="Z842" s="1580"/>
      <c r="AA842" s="1580"/>
      <c r="AB842" s="1580"/>
      <c r="AC842" s="1580"/>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 customHeight="1">
      <c r="A843"/>
      <c r="B843"/>
      <c r="C843"/>
      <c r="D843"/>
      <c r="E843"/>
      <c r="F843"/>
      <c r="G843"/>
      <c r="H843"/>
      <c r="I843"/>
      <c r="J843" s="45" t="s">
        <v>356</v>
      </c>
      <c r="K843" s="5"/>
      <c r="L843" s="5"/>
      <c r="M843" s="5"/>
      <c r="N843" s="5"/>
      <c r="O843" s="5"/>
      <c r="P843" s="5"/>
      <c r="Q843" s="5"/>
      <c r="R843" s="5"/>
      <c r="S843" s="5"/>
      <c r="T843" s="5"/>
      <c r="U843" s="5"/>
      <c r="V843" s="46"/>
      <c r="W843" s="1580">
        <v>1000</v>
      </c>
      <c r="X843" s="1580"/>
      <c r="Y843" s="1580"/>
      <c r="Z843" s="1580"/>
      <c r="AA843" s="1580"/>
      <c r="AB843" s="1580"/>
      <c r="AC843" s="1580"/>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 customHeight="1">
      <c r="J844" s="45" t="s">
        <v>355</v>
      </c>
      <c r="K844" s="5"/>
      <c r="L844" s="5"/>
      <c r="M844" s="5"/>
      <c r="N844" s="5"/>
      <c r="O844" s="5"/>
      <c r="P844" s="5"/>
      <c r="Q844" s="5"/>
      <c r="R844" s="5"/>
      <c r="S844" s="5"/>
      <c r="T844" s="5"/>
      <c r="U844" s="5"/>
      <c r="V844" s="46"/>
      <c r="W844" s="1580">
        <v>10000</v>
      </c>
      <c r="X844" s="1580"/>
      <c r="Y844" s="1580"/>
      <c r="Z844" s="1580"/>
      <c r="AA844" s="1580"/>
      <c r="AB844" s="1580"/>
      <c r="AC844" s="1580"/>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45" t="s">
        <v>354</v>
      </c>
      <c r="K845" s="5"/>
      <c r="L845" s="5"/>
      <c r="M845" s="5"/>
      <c r="N845" s="5"/>
      <c r="O845" s="5"/>
      <c r="P845" s="5"/>
      <c r="Q845" s="5"/>
      <c r="R845" s="5"/>
      <c r="S845" s="5"/>
      <c r="T845" s="5"/>
      <c r="U845" s="5"/>
      <c r="V845" s="46"/>
      <c r="W845" s="1580"/>
      <c r="X845" s="1580"/>
      <c r="Y845" s="1580"/>
      <c r="Z845" s="1580"/>
      <c r="AA845" s="1580"/>
      <c r="AB845" s="1580"/>
      <c r="AC845" s="1580"/>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45" t="s">
        <v>170</v>
      </c>
      <c r="K846" s="5"/>
      <c r="L846" s="5"/>
      <c r="M846" s="1602" t="s">
        <v>2646</v>
      </c>
      <c r="N846" s="1603"/>
      <c r="O846" s="1603"/>
      <c r="P846" s="1603"/>
      <c r="Q846" s="1603"/>
      <c r="R846" s="1603"/>
      <c r="S846" s="1603"/>
      <c r="T846" s="1603"/>
      <c r="U846" s="1603"/>
      <c r="V846" s="1604"/>
      <c r="W846" s="1580">
        <f>28180+3150+2490</f>
        <v>33820</v>
      </c>
      <c r="X846" s="1580"/>
      <c r="Y846" s="1580"/>
      <c r="Z846" s="1580"/>
      <c r="AA846" s="1580"/>
      <c r="AB846" s="1580"/>
      <c r="AC846" s="1580"/>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45"/>
      <c r="K847" s="5"/>
      <c r="L847" s="5"/>
      <c r="M847" s="5"/>
      <c r="N847" s="5"/>
      <c r="O847" s="5"/>
      <c r="P847" s="5"/>
      <c r="Q847" s="5"/>
      <c r="R847" s="5"/>
      <c r="S847" s="5"/>
      <c r="T847" s="5"/>
      <c r="U847" s="5"/>
      <c r="V847" s="54" t="s">
        <v>343</v>
      </c>
      <c r="W847" s="1610">
        <f>SUM(W842:AC846)</f>
        <v>48140</v>
      </c>
      <c r="X847" s="1611"/>
      <c r="Y847" s="1611"/>
      <c r="Z847" s="1611"/>
      <c r="AA847" s="1611"/>
      <c r="AB847" s="1611"/>
      <c r="AC847" s="1612"/>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30"/>
      <c r="BA848" s="30"/>
      <c r="BB848" s="14"/>
      <c r="BC848" s="14"/>
      <c r="BD848" s="14"/>
      <c r="BE848" s="14"/>
      <c r="BF848" s="14"/>
      <c r="BG848" s="1616"/>
      <c r="BH848" s="1616"/>
      <c r="BI848" s="1616"/>
      <c r="BJ848" s="1616"/>
      <c r="BK848" s="1616"/>
      <c r="BL848" s="1616"/>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345</v>
      </c>
      <c r="J849" s="1594" t="s">
        <v>346</v>
      </c>
      <c r="K849" s="1595"/>
      <c r="L849" s="1595"/>
      <c r="M849" s="1595"/>
      <c r="N849" s="1595"/>
      <c r="O849" s="1595"/>
      <c r="P849" s="1595"/>
      <c r="Q849" s="1595"/>
      <c r="R849" s="1595"/>
      <c r="S849" s="1595"/>
      <c r="T849" s="1595"/>
      <c r="U849" s="1595"/>
      <c r="V849" s="1596"/>
      <c r="W849" s="1590">
        <v>135368</v>
      </c>
      <c r="X849" s="1591"/>
      <c r="Y849" s="1591"/>
      <c r="Z849" s="1591"/>
      <c r="AA849" s="1591"/>
      <c r="AB849" s="1591"/>
      <c r="AC849" s="1592"/>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569</v>
      </c>
      <c r="J851" s="45" t="s">
        <v>353</v>
      </c>
      <c r="K851" s="5"/>
      <c r="L851" s="5"/>
      <c r="M851" s="5"/>
      <c r="N851" s="5"/>
      <c r="O851" s="5"/>
      <c r="P851" s="5"/>
      <c r="Q851" s="5"/>
      <c r="R851" s="5"/>
      <c r="S851" s="5"/>
      <c r="T851" s="5"/>
      <c r="U851" s="5"/>
      <c r="V851" s="46"/>
      <c r="W851" s="1613"/>
      <c r="X851" s="1613"/>
      <c r="Y851" s="1613"/>
      <c r="Z851" s="1613"/>
      <c r="AA851" s="1613"/>
      <c r="AB851" s="1613"/>
      <c r="AC851" s="1613"/>
      <c r="AZ851" s="1760">
        <f>SUM(AZ818:AZ846)</f>
        <v>0</v>
      </c>
      <c r="BA851" s="1760"/>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45" t="s">
        <v>352</v>
      </c>
      <c r="K852" s="5"/>
      <c r="L852" s="5"/>
      <c r="M852" s="5"/>
      <c r="N852" s="5"/>
      <c r="O852" s="5"/>
      <c r="P852" s="5"/>
      <c r="Q852" s="5"/>
      <c r="R852" s="5"/>
      <c r="S852" s="5"/>
      <c r="T852" s="5"/>
      <c r="U852" s="5"/>
      <c r="V852" s="46"/>
      <c r="W852" s="1613"/>
      <c r="X852" s="1613"/>
      <c r="Y852" s="1613"/>
      <c r="Z852" s="1613"/>
      <c r="AA852" s="1613"/>
      <c r="AB852" s="1613"/>
      <c r="AC852" s="1613"/>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45" t="s">
        <v>467</v>
      </c>
      <c r="K853" s="5"/>
      <c r="L853" s="5"/>
      <c r="M853" s="5"/>
      <c r="N853" s="5"/>
      <c r="O853" s="5"/>
      <c r="P853" s="5"/>
      <c r="Q853" s="5"/>
      <c r="R853" s="5"/>
      <c r="S853" s="5"/>
      <c r="T853" s="5"/>
      <c r="U853" s="5"/>
      <c r="V853" s="46"/>
      <c r="W853" s="1613">
        <v>50000</v>
      </c>
      <c r="X853" s="1613"/>
      <c r="Y853" s="1613"/>
      <c r="Z853" s="1613"/>
      <c r="AA853" s="1613"/>
      <c r="AB853" s="1613"/>
      <c r="AC853" s="1613"/>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62" t="s">
        <v>628</v>
      </c>
      <c r="K854" s="5"/>
      <c r="L854" s="5"/>
      <c r="M854" s="5"/>
      <c r="N854" s="5"/>
      <c r="O854" s="5"/>
      <c r="P854" s="5"/>
      <c r="Q854" s="5"/>
      <c r="R854" s="5"/>
      <c r="S854" s="5"/>
      <c r="T854" s="5"/>
      <c r="U854" s="5"/>
      <c r="V854" s="46"/>
      <c r="W854" s="1613">
        <v>100000</v>
      </c>
      <c r="X854" s="1613"/>
      <c r="Y854" s="1613"/>
      <c r="Z854" s="1613"/>
      <c r="AA854" s="1613"/>
      <c r="AB854" s="1613"/>
      <c r="AC854" s="161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63"/>
      <c r="K855" s="48"/>
      <c r="L855" s="48"/>
      <c r="M855" s="48"/>
      <c r="N855" s="48"/>
      <c r="O855" s="48"/>
      <c r="P855" s="48"/>
      <c r="Q855" s="48"/>
      <c r="R855" s="48"/>
      <c r="S855" s="48"/>
      <c r="T855" s="48"/>
      <c r="U855" s="48"/>
      <c r="V855" s="54" t="s">
        <v>273</v>
      </c>
      <c r="W855" s="1630">
        <f>SUM(W851:AC854)</f>
        <v>150000</v>
      </c>
      <c r="X855" s="1630"/>
      <c r="Y855" s="1630"/>
      <c r="Z855" s="1630"/>
      <c r="AA855" s="1630"/>
      <c r="AB855" s="1630"/>
      <c r="AC855" s="163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347</v>
      </c>
      <c r="J857" s="45" t="s">
        <v>627</v>
      </c>
      <c r="K857" s="5"/>
      <c r="L857" s="5"/>
      <c r="M857" s="5"/>
      <c r="N857" s="5"/>
      <c r="O857" s="5"/>
      <c r="P857" s="5"/>
      <c r="Q857" s="5"/>
      <c r="R857" s="5"/>
      <c r="S857" s="5"/>
      <c r="T857" s="5"/>
      <c r="U857" s="5"/>
      <c r="V857" s="46"/>
      <c r="W857" s="1622">
        <v>140000</v>
      </c>
      <c r="X857" s="1623"/>
      <c r="Y857" s="1623"/>
      <c r="Z857" s="1623"/>
      <c r="AA857" s="1623"/>
      <c r="AB857" s="1623"/>
      <c r="AC857" s="1624"/>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348</v>
      </c>
      <c r="J858" s="121" t="s">
        <v>1768</v>
      </c>
      <c r="K858" s="5"/>
      <c r="L858" s="5"/>
      <c r="M858" s="5"/>
      <c r="N858" s="5"/>
      <c r="O858" s="5"/>
      <c r="P858" s="5"/>
      <c r="Q858" s="5"/>
      <c r="R858" s="5"/>
      <c r="S858" s="5"/>
      <c r="T858" s="1617">
        <v>3</v>
      </c>
      <c r="U858" s="1513"/>
      <c r="V858" s="1618"/>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45" t="s">
        <v>626</v>
      </c>
      <c r="K859" s="5"/>
      <c r="L859" s="5"/>
      <c r="M859" s="5"/>
      <c r="N859" s="5"/>
      <c r="O859" s="5"/>
      <c r="P859" s="5"/>
      <c r="Q859" s="5"/>
      <c r="R859" s="5"/>
      <c r="S859" s="5"/>
      <c r="T859" s="5"/>
      <c r="U859" s="5"/>
      <c r="V859" s="46"/>
      <c r="W859" s="1622">
        <v>130000</v>
      </c>
      <c r="X859" s="1623"/>
      <c r="Y859" s="1623"/>
      <c r="Z859" s="1623"/>
      <c r="AA859" s="1623"/>
      <c r="AB859" s="1623"/>
      <c r="AC859" s="1624"/>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121" t="s">
        <v>1769</v>
      </c>
      <c r="K860" s="5"/>
      <c r="L860" s="5"/>
      <c r="M860" s="5"/>
      <c r="N860" s="5"/>
      <c r="O860" s="5"/>
      <c r="P860" s="5"/>
      <c r="Q860" s="5"/>
      <c r="R860" s="5"/>
      <c r="S860" s="5"/>
      <c r="T860" s="1617">
        <v>2</v>
      </c>
      <c r="U860" s="1513"/>
      <c r="V860" s="1618"/>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45" t="s">
        <v>170</v>
      </c>
      <c r="K861" s="5"/>
      <c r="L861" s="5"/>
      <c r="M861" s="1602" t="s">
        <v>2648</v>
      </c>
      <c r="N861" s="1603"/>
      <c r="O861" s="1603"/>
      <c r="P861" s="1603"/>
      <c r="Q861" s="1603"/>
      <c r="R861" s="1603"/>
      <c r="S861" s="1603"/>
      <c r="T861" s="1603"/>
      <c r="U861" s="1603"/>
      <c r="V861" s="1604"/>
      <c r="W861" s="1622">
        <f>67500</f>
        <v>67500</v>
      </c>
      <c r="X861" s="1623"/>
      <c r="Y861" s="1623"/>
      <c r="Z861" s="1623"/>
      <c r="AA861" s="1623"/>
      <c r="AB861" s="1623"/>
      <c r="AC861" s="1624"/>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45"/>
      <c r="K862" s="5"/>
      <c r="L862" s="5"/>
      <c r="M862" s="5"/>
      <c r="N862" s="5"/>
      <c r="O862" s="5"/>
      <c r="P862" s="5"/>
      <c r="Q862" s="5"/>
      <c r="R862" s="5"/>
      <c r="S862" s="5"/>
      <c r="T862" s="5"/>
      <c r="U862" s="5"/>
      <c r="V862" s="54" t="s">
        <v>274</v>
      </c>
      <c r="W862" s="1619">
        <f>SUM(W857:AC861)</f>
        <v>337500</v>
      </c>
      <c r="X862" s="1620"/>
      <c r="Y862" s="1620"/>
      <c r="Z862" s="1620"/>
      <c r="AA862" s="1620"/>
      <c r="AB862" s="1620"/>
      <c r="AC862" s="162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45"/>
      <c r="K863" s="5"/>
      <c r="L863" s="5"/>
      <c r="M863" s="5"/>
      <c r="N863" s="5"/>
      <c r="O863" s="5"/>
      <c r="P863" s="5"/>
      <c r="Q863" s="5"/>
      <c r="R863" s="5"/>
      <c r="S863" s="5"/>
      <c r="T863" s="5"/>
      <c r="U863" s="5"/>
      <c r="V863" s="54" t="s">
        <v>275</v>
      </c>
      <c r="W863" s="1622">
        <v>157700</v>
      </c>
      <c r="X863" s="1623"/>
      <c r="Y863" s="1623"/>
      <c r="Z863" s="1623"/>
      <c r="AA863" s="1623"/>
      <c r="AB863" s="1623"/>
      <c r="AC863" s="1624"/>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 customHeight="1">
      <c r="C865" s="2" t="s">
        <v>391</v>
      </c>
      <c r="J865" s="45" t="s">
        <v>625</v>
      </c>
      <c r="K865" s="5"/>
      <c r="L865" s="5"/>
      <c r="M865" s="5"/>
      <c r="N865" s="5"/>
      <c r="O865" s="5"/>
      <c r="P865" s="5"/>
      <c r="Q865" s="5"/>
      <c r="R865" s="5"/>
      <c r="S865" s="5"/>
      <c r="T865" s="5"/>
      <c r="U865" s="5"/>
      <c r="V865" s="46"/>
      <c r="W865" s="1580">
        <v>21580</v>
      </c>
      <c r="X865" s="1580"/>
      <c r="Y865" s="1580"/>
      <c r="Z865" s="1580"/>
      <c r="AA865" s="1580"/>
      <c r="AB865" s="1580"/>
      <c r="AC865" s="1580"/>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 customHeight="1">
      <c r="J866" s="45" t="s">
        <v>530</v>
      </c>
      <c r="K866" s="5"/>
      <c r="L866" s="5"/>
      <c r="M866" s="5"/>
      <c r="N866" s="5"/>
      <c r="O866" s="5"/>
      <c r="P866" s="5"/>
      <c r="Q866" s="5"/>
      <c r="R866" s="5"/>
      <c r="S866" s="5"/>
      <c r="T866" s="5"/>
      <c r="U866" s="5"/>
      <c r="V866" s="46"/>
      <c r="W866" s="1580">
        <v>31500</v>
      </c>
      <c r="X866" s="1580"/>
      <c r="Y866" s="1580"/>
      <c r="Z866" s="1580"/>
      <c r="AA866" s="1580"/>
      <c r="AB866" s="1580"/>
      <c r="AC866" s="1580"/>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 customHeight="1">
      <c r="J867" s="45" t="s">
        <v>529</v>
      </c>
      <c r="K867" s="5"/>
      <c r="L867" s="5"/>
      <c r="M867" s="5"/>
      <c r="N867" s="5"/>
      <c r="O867" s="5"/>
      <c r="P867" s="5"/>
      <c r="Q867" s="5"/>
      <c r="R867" s="5"/>
      <c r="S867" s="5"/>
      <c r="T867" s="5"/>
      <c r="U867" s="5"/>
      <c r="V867" s="46"/>
      <c r="W867" s="1580">
        <v>49200</v>
      </c>
      <c r="X867" s="1580"/>
      <c r="Y867" s="1580"/>
      <c r="Z867" s="1580"/>
      <c r="AA867" s="1580"/>
      <c r="AB867" s="1580"/>
      <c r="AC867" s="1580"/>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 customHeight="1">
      <c r="J868" s="45" t="s">
        <v>528</v>
      </c>
      <c r="K868" s="5"/>
      <c r="L868" s="5"/>
      <c r="M868" s="5"/>
      <c r="N868" s="5"/>
      <c r="O868" s="5"/>
      <c r="P868" s="5"/>
      <c r="Q868" s="5"/>
      <c r="R868" s="5"/>
      <c r="S868" s="5"/>
      <c r="T868" s="5"/>
      <c r="U868" s="5"/>
      <c r="V868" s="46"/>
      <c r="W868" s="1580"/>
      <c r="X868" s="1580"/>
      <c r="Y868" s="1580"/>
      <c r="Z868" s="1580"/>
      <c r="AA868" s="1580"/>
      <c r="AB868" s="1580"/>
      <c r="AC868" s="1580"/>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 customHeight="1">
      <c r="J869" s="45" t="s">
        <v>527</v>
      </c>
      <c r="K869" s="5"/>
      <c r="L869" s="5"/>
      <c r="M869" s="5"/>
      <c r="N869" s="5"/>
      <c r="O869" s="5"/>
      <c r="P869" s="5"/>
      <c r="Q869" s="5"/>
      <c r="R869" s="5"/>
      <c r="S869" s="5"/>
      <c r="T869" s="5"/>
      <c r="U869" s="5"/>
      <c r="V869" s="46"/>
      <c r="W869" s="1580">
        <v>41500</v>
      </c>
      <c r="X869" s="1580"/>
      <c r="Y869" s="1580"/>
      <c r="Z869" s="1580"/>
      <c r="AA869" s="1580"/>
      <c r="AB869" s="1580"/>
      <c r="AC869" s="1580"/>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 customHeight="1">
      <c r="J870" s="45" t="s">
        <v>526</v>
      </c>
      <c r="K870" s="5"/>
      <c r="L870" s="5"/>
      <c r="M870" s="5"/>
      <c r="N870" s="5"/>
      <c r="O870" s="5"/>
      <c r="P870" s="5"/>
      <c r="Q870" s="5"/>
      <c r="R870" s="5"/>
      <c r="S870" s="5"/>
      <c r="T870" s="5"/>
      <c r="U870" s="5"/>
      <c r="V870" s="46"/>
      <c r="W870" s="1580">
        <v>10000</v>
      </c>
      <c r="X870" s="1580"/>
      <c r="Y870" s="1580"/>
      <c r="Z870" s="1580"/>
      <c r="AA870" s="1580"/>
      <c r="AB870" s="1580"/>
      <c r="AC870" s="1580"/>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 customHeight="1">
      <c r="J871" s="45" t="s">
        <v>170</v>
      </c>
      <c r="K871" s="5"/>
      <c r="L871" s="5"/>
      <c r="M871" s="1602" t="s">
        <v>2647</v>
      </c>
      <c r="N871" s="1603"/>
      <c r="O871" s="1603"/>
      <c r="P871" s="1603"/>
      <c r="Q871" s="1603"/>
      <c r="R871" s="1603"/>
      <c r="S871" s="1603"/>
      <c r="T871" s="1603"/>
      <c r="U871" s="1603"/>
      <c r="V871" s="1604"/>
      <c r="W871" s="1580">
        <v>5810</v>
      </c>
      <c r="X871" s="1580"/>
      <c r="Y871" s="1580"/>
      <c r="Z871" s="1580"/>
      <c r="AA871" s="1580"/>
      <c r="AB871" s="1580"/>
      <c r="AC871" s="1580"/>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 customHeight="1">
      <c r="J872" s="45"/>
      <c r="K872" s="5"/>
      <c r="L872" s="5"/>
      <c r="M872" s="5"/>
      <c r="N872" s="5"/>
      <c r="O872" s="5"/>
      <c r="P872" s="5"/>
      <c r="Q872" s="5"/>
      <c r="R872" s="5"/>
      <c r="S872" s="5"/>
      <c r="T872" s="5"/>
      <c r="U872" s="5"/>
      <c r="V872" s="54" t="s">
        <v>276</v>
      </c>
      <c r="W872" s="1593">
        <f>SUM(W865:AC871)</f>
        <v>159590</v>
      </c>
      <c r="X872" s="1593"/>
      <c r="Y872" s="1593"/>
      <c r="Z872" s="1593"/>
      <c r="AA872" s="1593"/>
      <c r="AB872" s="1593"/>
      <c r="AC872" s="159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 customHeight="1">
      <c r="C874" s="2" t="s">
        <v>1350</v>
      </c>
      <c r="J874" s="45" t="s">
        <v>170</v>
      </c>
      <c r="K874" s="5"/>
      <c r="L874" s="5"/>
      <c r="M874" s="1602" t="s">
        <v>335</v>
      </c>
      <c r="N874" s="1603"/>
      <c r="O874" s="1603"/>
      <c r="P874" s="1603"/>
      <c r="Q874" s="1603"/>
      <c r="R874" s="1603"/>
      <c r="S874" s="1603"/>
      <c r="T874" s="1603"/>
      <c r="U874" s="1603"/>
      <c r="V874" s="1604"/>
      <c r="W874" s="1590"/>
      <c r="X874" s="1591"/>
      <c r="Y874" s="1591"/>
      <c r="Z874" s="1591"/>
      <c r="AA874" s="1591"/>
      <c r="AB874" s="1591"/>
      <c r="AC874" s="1592"/>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 customHeight="1">
      <c r="C875" s="2" t="s">
        <v>1351</v>
      </c>
      <c r="J875" s="45" t="s">
        <v>170</v>
      </c>
      <c r="K875" s="5"/>
      <c r="L875" s="5"/>
      <c r="M875" s="1602" t="s">
        <v>335</v>
      </c>
      <c r="N875" s="1603"/>
      <c r="O875" s="1603"/>
      <c r="P875" s="1603"/>
      <c r="Q875" s="1603"/>
      <c r="R875" s="1603"/>
      <c r="S875" s="1603"/>
      <c r="T875" s="1603"/>
      <c r="U875" s="1603"/>
      <c r="V875" s="1604"/>
      <c r="W875" s="1590"/>
      <c r="X875" s="1591"/>
      <c r="Y875" s="1591"/>
      <c r="Z875" s="1591"/>
      <c r="AA875" s="1591"/>
      <c r="AB875" s="1591"/>
      <c r="AC875" s="1592"/>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 customHeight="1">
      <c r="J876" s="45" t="s">
        <v>170</v>
      </c>
      <c r="K876" s="5"/>
      <c r="L876" s="5"/>
      <c r="M876" s="1602" t="s">
        <v>335</v>
      </c>
      <c r="N876" s="1603"/>
      <c r="O876" s="1603"/>
      <c r="P876" s="1603"/>
      <c r="Q876" s="1603"/>
      <c r="R876" s="1603"/>
      <c r="S876" s="1603"/>
      <c r="T876" s="1603"/>
      <c r="U876" s="1603"/>
      <c r="V876" s="1604"/>
      <c r="W876" s="1590"/>
      <c r="X876" s="1591"/>
      <c r="Y876" s="1591"/>
      <c r="Z876" s="1591"/>
      <c r="AA876" s="1591"/>
      <c r="AB876" s="1591"/>
      <c r="AC876" s="159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 customHeight="1">
      <c r="J877" s="45" t="s">
        <v>170</v>
      </c>
      <c r="K877" s="5"/>
      <c r="L877" s="5"/>
      <c r="M877" s="1602" t="s">
        <v>335</v>
      </c>
      <c r="N877" s="1603"/>
      <c r="O877" s="1603"/>
      <c r="P877" s="1603"/>
      <c r="Q877" s="1603"/>
      <c r="R877" s="1603"/>
      <c r="S877" s="1603"/>
      <c r="T877" s="1603"/>
      <c r="U877" s="1603"/>
      <c r="V877" s="1604"/>
      <c r="W877" s="1590"/>
      <c r="X877" s="1591"/>
      <c r="Y877" s="1591"/>
      <c r="Z877" s="1591"/>
      <c r="AA877" s="1591"/>
      <c r="AB877" s="1591"/>
      <c r="AC877" s="159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 customHeight="1">
      <c r="J878" s="45" t="s">
        <v>170</v>
      </c>
      <c r="K878" s="5"/>
      <c r="L878" s="5"/>
      <c r="M878" s="1602" t="s">
        <v>335</v>
      </c>
      <c r="N878" s="1603"/>
      <c r="O878" s="1603"/>
      <c r="P878" s="1603"/>
      <c r="Q878" s="1603"/>
      <c r="R878" s="1603"/>
      <c r="S878" s="1603"/>
      <c r="T878" s="1603"/>
      <c r="U878" s="1603"/>
      <c r="V878" s="1604"/>
      <c r="W878" s="1590"/>
      <c r="X878" s="1591"/>
      <c r="Y878" s="1591"/>
      <c r="Z878" s="1591"/>
      <c r="AA878" s="1591"/>
      <c r="AB878" s="1591"/>
      <c r="AC878" s="159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 customHeight="1">
      <c r="J879" s="45"/>
      <c r="K879" s="5"/>
      <c r="L879" s="5"/>
      <c r="M879" s="5"/>
      <c r="N879" s="5"/>
      <c r="O879" s="5"/>
      <c r="P879" s="5"/>
      <c r="Q879" s="5"/>
      <c r="R879" s="5"/>
      <c r="S879" s="5"/>
      <c r="T879" s="5"/>
      <c r="U879" s="5"/>
      <c r="V879" s="54" t="s">
        <v>277</v>
      </c>
      <c r="W879" s="1610">
        <f>SUM(W874:AC878)</f>
        <v>0</v>
      </c>
      <c r="X879" s="1611"/>
      <c r="Y879" s="1611"/>
      <c r="Z879" s="1611"/>
      <c r="AA879" s="1611"/>
      <c r="AB879" s="1611"/>
      <c r="AC879" s="161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1">
        <f>W847+W855+W862+W863+W872+W879+W849</f>
        <v>988298</v>
      </c>
      <c r="AD883" s="1611"/>
      <c r="AE883" s="1611"/>
      <c r="AF883" s="1611"/>
      <c r="AG883" s="1611"/>
      <c r="AH883" s="161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28">
        <f>O797+O777+G753</f>
        <v>166</v>
      </c>
      <c r="AD884" s="1628"/>
      <c r="AE884" s="1628"/>
      <c r="AF884" s="1628"/>
      <c r="AG884" s="1628"/>
      <c r="AH884" s="162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C885" s="41"/>
      <c r="D885" s="42"/>
      <c r="E885" s="1631" t="s">
        <v>32</v>
      </c>
      <c r="F885" s="1631"/>
      <c r="G885" s="1631"/>
      <c r="H885" s="1631"/>
      <c r="I885" s="1631"/>
      <c r="J885" s="1631"/>
      <c r="K885" s="1631"/>
      <c r="L885" s="1631"/>
      <c r="M885" s="1631"/>
      <c r="N885" s="1631"/>
      <c r="O885" s="1631"/>
      <c r="P885" s="1631"/>
      <c r="Q885" s="1631"/>
      <c r="R885" s="1631"/>
      <c r="S885" s="1631"/>
      <c r="T885" s="1631"/>
      <c r="U885" s="1631"/>
      <c r="V885" s="1631"/>
      <c r="W885" s="1631"/>
      <c r="X885" s="1631"/>
      <c r="Y885" s="1631"/>
      <c r="Z885" s="1631"/>
      <c r="AA885" s="1631"/>
      <c r="AB885" s="1632"/>
      <c r="AC885" s="1593">
        <f>IF(ISERROR((ROUNDDOWN(AC883/AC884,0))),0,(ROUNDDOWN(AC883/AC884,0)))</f>
        <v>5953</v>
      </c>
      <c r="AD885" s="1593"/>
      <c r="AE885" s="1593"/>
      <c r="AF885" s="1593"/>
      <c r="AG885" s="1593"/>
      <c r="AH885" s="159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33">
        <v>1502231</v>
      </c>
      <c r="AD886" s="1634"/>
      <c r="AE886" s="1634"/>
      <c r="AF886" s="1634"/>
      <c r="AG886" s="1634"/>
      <c r="AH886" s="163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92"/>
      <c r="AD887" s="1580"/>
      <c r="AE887" s="1580"/>
      <c r="AF887" s="1580"/>
      <c r="AG887" s="1580"/>
      <c r="AH887" s="1580"/>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91">
        <v>35000</v>
      </c>
      <c r="AD888" s="1591"/>
      <c r="AE888" s="1591"/>
      <c r="AF888" s="1591"/>
      <c r="AG888" s="1591"/>
      <c r="AH888" s="159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91">
        <v>49800</v>
      </c>
      <c r="AD889" s="1591"/>
      <c r="AE889" s="1591"/>
      <c r="AF889" s="1591"/>
      <c r="AG889" s="1591"/>
      <c r="AH889" s="159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577"/>
      <c r="AD890" s="1578"/>
      <c r="AE890" s="1578"/>
      <c r="AF890" s="1578"/>
      <c r="AG890" s="1578"/>
      <c r="AH890" s="157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91">
        <v>3320</v>
      </c>
      <c r="AD891" s="1591"/>
      <c r="AE891" s="1591"/>
      <c r="AF891" s="1591"/>
      <c r="AG891" s="1591"/>
      <c r="AH891" s="159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91"/>
      <c r="AD892" s="1591"/>
      <c r="AE892" s="1591"/>
      <c r="AF892" s="1591"/>
      <c r="AG892" s="1591"/>
      <c r="AH892" s="159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C893" s="1625" t="s">
        <v>975</v>
      </c>
      <c r="D893" s="1626"/>
      <c r="E893" s="1626"/>
      <c r="F893" s="1626"/>
      <c r="G893" s="1626"/>
      <c r="H893" s="1626"/>
      <c r="I893" s="1626"/>
      <c r="J893" s="1626"/>
      <c r="K893" s="1626"/>
      <c r="L893" s="1626"/>
      <c r="M893" s="1626"/>
      <c r="N893" s="1626"/>
      <c r="O893" s="1626"/>
      <c r="P893" s="1626"/>
      <c r="Q893" s="1626"/>
      <c r="R893" s="1626"/>
      <c r="S893" s="1626"/>
      <c r="T893" s="1626"/>
      <c r="U893" s="1626"/>
      <c r="V893" s="1626"/>
      <c r="W893" s="1626"/>
      <c r="X893" s="1626"/>
      <c r="Y893" s="1626"/>
      <c r="Z893" s="1626"/>
      <c r="AA893" s="1626"/>
      <c r="AB893" s="1627"/>
      <c r="AC893" s="1580"/>
      <c r="AD893" s="1580"/>
      <c r="AE893" s="1580"/>
      <c r="AF893" s="1580"/>
      <c r="AG893" s="1580"/>
      <c r="AH893" s="1580"/>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c r="C894" s="1625" t="s">
        <v>975</v>
      </c>
      <c r="D894" s="1626"/>
      <c r="E894" s="1626"/>
      <c r="F894" s="1626"/>
      <c r="G894" s="1626"/>
      <c r="H894" s="1626"/>
      <c r="I894" s="1626"/>
      <c r="J894" s="1626"/>
      <c r="K894" s="1626"/>
      <c r="L894" s="1626"/>
      <c r="M894" s="1626"/>
      <c r="N894" s="1626"/>
      <c r="O894" s="1626"/>
      <c r="P894" s="1626"/>
      <c r="Q894" s="1626"/>
      <c r="R894" s="1626"/>
      <c r="S894" s="1626"/>
      <c r="T894" s="1626"/>
      <c r="U894" s="1626"/>
      <c r="V894" s="1626"/>
      <c r="W894" s="1626"/>
      <c r="X894" s="1626"/>
      <c r="Y894" s="1626"/>
      <c r="Z894" s="1626"/>
      <c r="AA894" s="1626"/>
      <c r="AB894" s="1627"/>
      <c r="AC894" s="1580"/>
      <c r="AD894" s="1580"/>
      <c r="AE894" s="1580"/>
      <c r="AF894" s="1580"/>
      <c r="AG894" s="1580"/>
      <c r="AH894" s="1580"/>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 customHeight="1">
      <c r="B898" s="2"/>
      <c r="H898" s="121" t="s">
        <v>239</v>
      </c>
      <c r="I898" s="5"/>
      <c r="J898" s="5"/>
      <c r="K898" s="5"/>
      <c r="L898" s="5"/>
      <c r="M898" s="5"/>
      <c r="N898" s="5"/>
      <c r="O898" s="5"/>
      <c r="P898" s="5"/>
      <c r="Q898" s="5"/>
      <c r="R898" s="5"/>
      <c r="S898" s="5"/>
      <c r="T898" s="5"/>
      <c r="U898" s="5"/>
      <c r="V898" s="5"/>
      <c r="W898" s="5"/>
      <c r="X898" s="5"/>
      <c r="Y898" s="46"/>
      <c r="Z898" s="1590"/>
      <c r="AA898" s="1591"/>
      <c r="AB898" s="1591"/>
      <c r="AC898" s="1591"/>
      <c r="AD898" s="1591"/>
      <c r="AE898" s="1592"/>
      <c r="AF898" s="567"/>
      <c r="AZ898" s="34"/>
      <c r="BB898" s="30"/>
      <c r="BC898" s="850"/>
      <c r="BD898" s="1615"/>
      <c r="BE898" s="161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 customHeight="1">
      <c r="H899" s="121" t="s">
        <v>240</v>
      </c>
      <c r="I899" s="5"/>
      <c r="J899" s="5"/>
      <c r="K899" s="5"/>
      <c r="L899" s="5"/>
      <c r="M899" s="5"/>
      <c r="N899" s="5"/>
      <c r="O899" s="5"/>
      <c r="P899" s="5"/>
      <c r="Q899" s="5"/>
      <c r="R899" s="5"/>
      <c r="S899" s="5"/>
      <c r="T899" s="5"/>
      <c r="U899" s="5"/>
      <c r="V899" s="5"/>
      <c r="W899" s="5"/>
      <c r="X899" s="5"/>
      <c r="Y899" s="5"/>
      <c r="Z899" s="1590"/>
      <c r="AA899" s="1591"/>
      <c r="AB899" s="1591"/>
      <c r="AC899" s="1591"/>
      <c r="AD899" s="1591"/>
      <c r="AE899" s="1592"/>
      <c r="AZ899" s="34"/>
      <c r="BB899" s="30"/>
      <c r="BC899" s="850"/>
      <c r="BD899" s="1615"/>
      <c r="BE899" s="161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 customHeight="1">
      <c r="H900" s="121" t="s">
        <v>241</v>
      </c>
      <c r="I900" s="5"/>
      <c r="J900" s="5"/>
      <c r="K900" s="5"/>
      <c r="L900" s="5"/>
      <c r="M900" s="5"/>
      <c r="N900" s="5"/>
      <c r="O900" s="5"/>
      <c r="P900" s="5"/>
      <c r="Q900" s="5"/>
      <c r="R900" s="5"/>
      <c r="S900" s="5"/>
      <c r="T900" s="5"/>
      <c r="U900" s="5"/>
      <c r="V900" s="5"/>
      <c r="W900" s="5"/>
      <c r="X900" s="5"/>
      <c r="Y900" s="5"/>
      <c r="Z900" s="1590"/>
      <c r="AA900" s="1591"/>
      <c r="AB900" s="1591"/>
      <c r="AC900" s="1591"/>
      <c r="AD900" s="1591"/>
      <c r="AE900" s="1592"/>
      <c r="AZ900" s="34"/>
      <c r="BB900" s="30"/>
      <c r="BC900" s="850"/>
      <c r="BD900" s="1616"/>
      <c r="BE900" s="161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 customHeight="1">
      <c r="H901" s="45"/>
      <c r="I901" s="5"/>
      <c r="J901" s="5"/>
      <c r="K901" s="5"/>
      <c r="L901" s="5"/>
      <c r="M901" s="5"/>
      <c r="N901" s="5"/>
      <c r="O901" s="5"/>
      <c r="P901" s="5"/>
      <c r="Q901" s="5"/>
      <c r="R901" s="5"/>
      <c r="S901" s="5"/>
      <c r="T901" s="5"/>
      <c r="U901" s="5"/>
      <c r="V901" s="5"/>
      <c r="W901" s="5"/>
      <c r="X901" s="5"/>
      <c r="Y901" s="190" t="s">
        <v>242</v>
      </c>
      <c r="Z901" s="1610">
        <f>Z898-(Z899+Z900)</f>
        <v>0</v>
      </c>
      <c r="AA901" s="1611"/>
      <c r="AB901" s="1611"/>
      <c r="AC901" s="1611"/>
      <c r="AD901" s="1611"/>
      <c r="AE901" s="1612"/>
      <c r="AZ901" s="34"/>
      <c r="BB901" s="30"/>
      <c r="BC901" s="850"/>
      <c r="BD901" s="1616"/>
      <c r="BE901" s="161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6"/>
      <c r="BE902" s="161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5"/>
      <c r="BE903" s="161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67"/>
      <c r="BE904" s="1667"/>
      <c r="BF904" s="166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6"/>
      <c r="BE905" s="1666"/>
      <c r="BF905" s="166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6"/>
      <c r="BE906" s="161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5"/>
      <c r="BE907" s="161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 customHeight="1">
      <c r="A909" s="1661" t="s">
        <v>96</v>
      </c>
      <c r="B909" s="1661"/>
      <c r="C909" s="1661"/>
      <c r="D909" s="1661"/>
      <c r="E909" s="1661"/>
      <c r="F909" s="1661"/>
      <c r="G909" s="1661"/>
      <c r="H909" s="1661"/>
      <c r="I909" s="1661"/>
      <c r="J909" s="1661"/>
      <c r="K909" s="1661"/>
      <c r="L909" s="1661"/>
      <c r="M909" s="1661"/>
      <c r="N909" s="1661"/>
      <c r="O909" s="1661"/>
      <c r="P909" s="1661"/>
      <c r="Q909" s="1661"/>
      <c r="R909" s="1661"/>
      <c r="S909" s="1661"/>
      <c r="T909" s="1661"/>
      <c r="U909" s="1661"/>
      <c r="V909" s="1661"/>
      <c r="W909" s="1661"/>
      <c r="X909" s="1661"/>
      <c r="Y909" s="1661"/>
      <c r="Z909" s="1661"/>
      <c r="AA909" s="1661"/>
      <c r="AB909" s="1661"/>
      <c r="AC909" s="1661"/>
      <c r="AD909" s="1661"/>
      <c r="AE909" s="1661"/>
      <c r="AF909" s="1661"/>
      <c r="AG909" s="1661"/>
      <c r="AH909" s="1661"/>
      <c r="AI909" s="1661"/>
      <c r="AJ909" s="1661"/>
      <c r="AK909" s="1661"/>
      <c r="AL909" s="1661"/>
      <c r="AM909" s="1661"/>
      <c r="AN909" s="1661"/>
      <c r="AO909" s="1661"/>
      <c r="AP909" s="1661"/>
      <c r="AQ909" s="1661"/>
      <c r="AR909" s="1661"/>
      <c r="AS909" s="1661"/>
      <c r="AT909" s="1661"/>
      <c r="AZ909" s="34"/>
      <c r="BA909" s="34"/>
      <c r="BB909" s="30"/>
      <c r="BC909" s="30"/>
      <c r="BD909" s="1615"/>
      <c r="BE909" s="161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 customHeight="1">
      <c r="A910" s="1661"/>
      <c r="B910" s="1661"/>
      <c r="C910" s="1661"/>
      <c r="D910" s="1661"/>
      <c r="E910" s="1661"/>
      <c r="F910" s="1661"/>
      <c r="G910" s="1661"/>
      <c r="H910" s="1661"/>
      <c r="I910" s="1661"/>
      <c r="J910" s="1661"/>
      <c r="K910" s="1661"/>
      <c r="L910" s="1661"/>
      <c r="M910" s="1661"/>
      <c r="N910" s="1661"/>
      <c r="O910" s="1661"/>
      <c r="P910" s="1661"/>
      <c r="Q910" s="1661"/>
      <c r="R910" s="1661"/>
      <c r="S910" s="1661"/>
      <c r="T910" s="1661"/>
      <c r="U910" s="1661"/>
      <c r="V910" s="1661"/>
      <c r="W910" s="1661"/>
      <c r="X910" s="1661"/>
      <c r="Y910" s="1661"/>
      <c r="Z910" s="1661"/>
      <c r="AA910" s="1661"/>
      <c r="AB910" s="1661"/>
      <c r="AC910" s="1661"/>
      <c r="AD910" s="1661"/>
      <c r="AE910" s="1661"/>
      <c r="AF910" s="1661"/>
      <c r="AG910" s="1661"/>
      <c r="AH910" s="1661"/>
      <c r="AI910" s="1661"/>
      <c r="AJ910" s="1661"/>
      <c r="AK910" s="1661"/>
      <c r="AL910" s="1661"/>
      <c r="AM910" s="1661"/>
      <c r="AN910" s="1661"/>
      <c r="AO910" s="1661"/>
      <c r="AP910" s="1661"/>
      <c r="AQ910" s="1661"/>
      <c r="AR910" s="1661"/>
      <c r="AS910" s="1661"/>
      <c r="AT910" s="166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 customHeight="1">
      <c r="F914" s="1843" t="s">
        <v>801</v>
      </c>
      <c r="G914" s="1844"/>
      <c r="H914" s="1844"/>
      <c r="I914" s="1844"/>
      <c r="J914" s="1844"/>
      <c r="K914" s="1844"/>
      <c r="L914" s="1844"/>
      <c r="M914" s="1844"/>
      <c r="N914" s="1844"/>
      <c r="O914" s="1844"/>
      <c r="P914" s="1844"/>
      <c r="Q914" s="1844"/>
      <c r="R914" s="1844"/>
      <c r="S914" s="1844"/>
      <c r="T914" s="1845"/>
      <c r="U914" s="1657" t="s">
        <v>31</v>
      </c>
      <c r="V914" s="1597"/>
      <c r="W914" s="1597"/>
      <c r="X914" s="1597"/>
      <c r="Y914" s="1597"/>
      <c r="Z914" s="159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 customHeight="1">
      <c r="B915" s="2"/>
      <c r="F915" s="1658" t="s">
        <v>827</v>
      </c>
      <c r="G915" s="1659"/>
      <c r="H915" s="1659"/>
      <c r="I915" s="1659"/>
      <c r="J915" s="1659"/>
      <c r="K915" s="1659"/>
      <c r="L915" s="1659"/>
      <c r="M915" s="1659"/>
      <c r="N915" s="1659"/>
      <c r="O915" s="1659"/>
      <c r="P915" s="1659"/>
      <c r="Q915" s="1659"/>
      <c r="R915" s="1659"/>
      <c r="S915" s="1659"/>
      <c r="T915" s="1761"/>
      <c r="U915" s="1658"/>
      <c r="V915" s="1659"/>
      <c r="W915" s="1659"/>
      <c r="X915" s="1659"/>
      <c r="Y915" s="1659"/>
      <c r="Z915" s="1659"/>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 customHeight="1">
      <c r="B916" s="2"/>
      <c r="F916" s="1660"/>
      <c r="G916" s="1599"/>
      <c r="H916" s="1599"/>
      <c r="I916" s="1599"/>
      <c r="J916" s="1599"/>
      <c r="K916" s="1599"/>
      <c r="L916" s="1599"/>
      <c r="M916" s="1599"/>
      <c r="N916" s="1599"/>
      <c r="O916" s="1599"/>
      <c r="P916" s="1599"/>
      <c r="Q916" s="1599"/>
      <c r="R916" s="1599"/>
      <c r="S916" s="1599"/>
      <c r="T916" s="1600"/>
      <c r="U916" s="1660"/>
      <c r="V916" s="1599"/>
      <c r="W916" s="1599"/>
      <c r="X916" s="1599"/>
      <c r="Y916" s="1599"/>
      <c r="Z916" s="1599"/>
      <c r="AA916" s="108"/>
      <c r="AB916" s="1464" t="s">
        <v>392</v>
      </c>
      <c r="AC916" s="1464"/>
      <c r="AD916" s="1464"/>
      <c r="AE916" s="146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 customHeight="1">
      <c r="B917" s="2"/>
      <c r="F917" s="45" t="s">
        <v>767</v>
      </c>
      <c r="G917" s="48"/>
      <c r="H917" s="48"/>
      <c r="I917" s="48"/>
      <c r="J917" s="48"/>
      <c r="K917" s="48"/>
      <c r="L917" s="48"/>
      <c r="M917" s="48"/>
      <c r="N917" s="48"/>
      <c r="O917" s="48"/>
      <c r="P917" s="48"/>
      <c r="Q917" s="48"/>
      <c r="R917" s="48"/>
      <c r="S917" s="48"/>
      <c r="T917" s="49"/>
      <c r="U917" s="1635" t="s">
        <v>553</v>
      </c>
      <c r="V917" s="1434"/>
      <c r="W917" s="1434"/>
      <c r="X917" s="1434"/>
      <c r="Y917" s="1434"/>
      <c r="Z917" s="1435"/>
      <c r="AA917" s="1643">
        <v>28300000</v>
      </c>
      <c r="AB917" s="1560"/>
      <c r="AC917" s="1560"/>
      <c r="AD917" s="1560"/>
      <c r="AE917" s="1560"/>
      <c r="AF917" s="164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 customHeight="1">
      <c r="B918" s="2"/>
      <c r="F918" s="66" t="s">
        <v>683</v>
      </c>
      <c r="G918" s="48"/>
      <c r="H918" s="48"/>
      <c r="I918" s="48"/>
      <c r="J918" s="48"/>
      <c r="K918" s="48"/>
      <c r="L918" s="48"/>
      <c r="M918" s="48"/>
      <c r="N918" s="48"/>
      <c r="O918" s="48"/>
      <c r="P918" s="48"/>
      <c r="Q918" s="48"/>
      <c r="R918" s="48"/>
      <c r="S918" s="48"/>
      <c r="T918" s="49"/>
      <c r="U918" s="1635" t="s">
        <v>599</v>
      </c>
      <c r="V918" s="1434"/>
      <c r="W918" s="1434"/>
      <c r="X918" s="1434"/>
      <c r="Y918" s="1434"/>
      <c r="Z918" s="1435"/>
      <c r="AA918" s="1643"/>
      <c r="AB918" s="1560"/>
      <c r="AC918" s="1560"/>
      <c r="AD918" s="1560"/>
      <c r="AE918" s="1560"/>
      <c r="AF918" s="164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 customHeight="1">
      <c r="F919" s="45" t="s">
        <v>810</v>
      </c>
      <c r="G919" s="5"/>
      <c r="H919" s="5"/>
      <c r="I919" s="5"/>
      <c r="J919" s="5"/>
      <c r="K919" s="5"/>
      <c r="L919" s="5"/>
      <c r="M919" s="5"/>
      <c r="N919" s="5"/>
      <c r="O919" s="5"/>
      <c r="P919" s="5"/>
      <c r="Q919" s="5"/>
      <c r="R919" s="5"/>
      <c r="S919" s="5"/>
      <c r="T919" s="46"/>
      <c r="U919" s="1635" t="s">
        <v>599</v>
      </c>
      <c r="V919" s="1434"/>
      <c r="W919" s="1434"/>
      <c r="X919" s="1434"/>
      <c r="Y919" s="1434"/>
      <c r="Z919" s="1435"/>
      <c r="AA919" s="1643"/>
      <c r="AB919" s="1560"/>
      <c r="AC919" s="1560"/>
      <c r="AD919" s="1560"/>
      <c r="AE919" s="1560"/>
      <c r="AF919" s="164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 customHeight="1">
      <c r="F920" s="45" t="s">
        <v>686</v>
      </c>
      <c r="G920" s="5"/>
      <c r="H920" s="5"/>
      <c r="I920" s="5"/>
      <c r="J920" s="5"/>
      <c r="K920" s="5"/>
      <c r="L920" s="5"/>
      <c r="M920" s="5"/>
      <c r="N920" s="5"/>
      <c r="O920" s="5"/>
      <c r="P920" s="5"/>
      <c r="Q920" s="5"/>
      <c r="R920" s="5"/>
      <c r="S920" s="5"/>
      <c r="T920" s="46"/>
      <c r="U920" s="1635" t="s">
        <v>599</v>
      </c>
      <c r="V920" s="1434"/>
      <c r="W920" s="1434"/>
      <c r="X920" s="1434"/>
      <c r="Y920" s="1434"/>
      <c r="Z920" s="1435"/>
      <c r="AA920" s="1643"/>
      <c r="AB920" s="1560"/>
      <c r="AC920" s="1560"/>
      <c r="AD920" s="1560"/>
      <c r="AE920" s="1560"/>
      <c r="AF920" s="164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 customHeight="1">
      <c r="F921" s="66" t="s">
        <v>795</v>
      </c>
      <c r="G921" s="5"/>
      <c r="H921" s="5"/>
      <c r="I921" s="5"/>
      <c r="J921" s="5"/>
      <c r="K921" s="5"/>
      <c r="L921" s="5"/>
      <c r="M921" s="5"/>
      <c r="N921" s="5"/>
      <c r="O921" s="5"/>
      <c r="P921" s="5"/>
      <c r="Q921" s="5"/>
      <c r="R921" s="5"/>
      <c r="S921" s="5"/>
      <c r="T921" s="46"/>
      <c r="U921" s="1635" t="s">
        <v>599</v>
      </c>
      <c r="V921" s="1434"/>
      <c r="W921" s="1434"/>
      <c r="X921" s="1434"/>
      <c r="Y921" s="1434"/>
      <c r="Z921" s="1435"/>
      <c r="AA921" s="1643"/>
      <c r="AB921" s="1560"/>
      <c r="AC921" s="1560"/>
      <c r="AD921" s="1560"/>
      <c r="AE921" s="1560"/>
      <c r="AF921" s="164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 customHeight="1">
      <c r="F922" s="66" t="s">
        <v>796</v>
      </c>
      <c r="G922" s="5"/>
      <c r="H922" s="5"/>
      <c r="I922" s="5"/>
      <c r="J922" s="5"/>
      <c r="K922" s="5"/>
      <c r="L922" s="5"/>
      <c r="M922" s="5"/>
      <c r="N922" s="5"/>
      <c r="O922" s="5"/>
      <c r="P922" s="5"/>
      <c r="Q922" s="5"/>
      <c r="R922" s="5"/>
      <c r="S922" s="5"/>
      <c r="T922" s="46"/>
      <c r="U922" s="1635" t="s">
        <v>599</v>
      </c>
      <c r="V922" s="1434"/>
      <c r="W922" s="1434"/>
      <c r="X922" s="1434"/>
      <c r="Y922" s="1434"/>
      <c r="Z922" s="1435"/>
      <c r="AA922" s="1643"/>
      <c r="AB922" s="1560"/>
      <c r="AC922" s="1560"/>
      <c r="AD922" s="1560"/>
      <c r="AE922" s="1560"/>
      <c r="AF922" s="164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 customHeight="1">
      <c r="F923" s="66" t="s">
        <v>797</v>
      </c>
      <c r="G923" s="5"/>
      <c r="H923" s="5"/>
      <c r="I923" s="5"/>
      <c r="J923" s="5"/>
      <c r="K923" s="5"/>
      <c r="L923" s="5"/>
      <c r="M923" s="5"/>
      <c r="N923" s="5"/>
      <c r="O923" s="5"/>
      <c r="P923" s="5"/>
      <c r="Q923" s="5"/>
      <c r="R923" s="5"/>
      <c r="S923" s="5"/>
      <c r="T923" s="46"/>
      <c r="U923" s="1635" t="s">
        <v>599</v>
      </c>
      <c r="V923" s="1434"/>
      <c r="W923" s="1434"/>
      <c r="X923" s="1434"/>
      <c r="Y923" s="1434"/>
      <c r="Z923" s="1435"/>
      <c r="AA923" s="1643"/>
      <c r="AB923" s="1560"/>
      <c r="AC923" s="1560"/>
      <c r="AD923" s="1560"/>
      <c r="AE923" s="1560"/>
      <c r="AF923" s="164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 customHeight="1">
      <c r="F924" s="45" t="s">
        <v>685</v>
      </c>
      <c r="G924" s="5"/>
      <c r="H924" s="5"/>
      <c r="I924" s="5"/>
      <c r="J924" s="5"/>
      <c r="K924" s="5"/>
      <c r="L924" s="5"/>
      <c r="M924" s="5"/>
      <c r="N924" s="5"/>
      <c r="O924" s="5"/>
      <c r="P924" s="5"/>
      <c r="Q924" s="5"/>
      <c r="R924" s="5"/>
      <c r="S924" s="5"/>
      <c r="T924" s="46"/>
      <c r="U924" s="1635" t="s">
        <v>599</v>
      </c>
      <c r="V924" s="1434"/>
      <c r="W924" s="1434"/>
      <c r="X924" s="1434"/>
      <c r="Y924" s="1434"/>
      <c r="Z924" s="1435"/>
      <c r="AA924" s="1643"/>
      <c r="AB924" s="1560"/>
      <c r="AC924" s="1560"/>
      <c r="AD924" s="1560"/>
      <c r="AE924" s="1560"/>
      <c r="AF924" s="164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 customHeight="1">
      <c r="F925" s="1645" t="s">
        <v>2554</v>
      </c>
      <c r="G925" s="1646"/>
      <c r="H925" s="1646"/>
      <c r="I925" s="1646"/>
      <c r="J925" s="1646"/>
      <c r="K925" s="1646"/>
      <c r="L925" s="1646"/>
      <c r="M925" s="1646"/>
      <c r="N925" s="1646"/>
      <c r="O925" s="1646"/>
      <c r="P925" s="1646"/>
      <c r="Q925" s="1646"/>
      <c r="R925" s="1646"/>
      <c r="S925" s="1646"/>
      <c r="T925" s="1647"/>
      <c r="U925" s="1635" t="s">
        <v>599</v>
      </c>
      <c r="V925" s="1434"/>
      <c r="W925" s="1434"/>
      <c r="X925" s="1434"/>
      <c r="Y925" s="1434"/>
      <c r="Z925" s="1435"/>
      <c r="AA925" s="1643"/>
      <c r="AB925" s="1560"/>
      <c r="AC925" s="1560"/>
      <c r="AD925" s="1560"/>
      <c r="AE925" s="1560"/>
      <c r="AF925" s="164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 customHeight="1">
      <c r="F926" s="1645" t="s">
        <v>687</v>
      </c>
      <c r="G926" s="1646"/>
      <c r="H926" s="1646"/>
      <c r="I926" s="1646"/>
      <c r="J926" s="1646"/>
      <c r="K926" s="1646"/>
      <c r="L926" s="1646"/>
      <c r="M926" s="1646"/>
      <c r="N926" s="1646"/>
      <c r="O926" s="1646"/>
      <c r="P926" s="1646"/>
      <c r="Q926" s="1646"/>
      <c r="R926" s="1646"/>
      <c r="S926" s="1646"/>
      <c r="T926" s="1647"/>
      <c r="U926" s="1635" t="s">
        <v>599</v>
      </c>
      <c r="V926" s="1434"/>
      <c r="W926" s="1434"/>
      <c r="X926" s="1434"/>
      <c r="Y926" s="1434"/>
      <c r="Z926" s="1435"/>
      <c r="AA926" s="1643"/>
      <c r="AB926" s="1560"/>
      <c r="AC926" s="1560"/>
      <c r="AD926" s="1560"/>
      <c r="AE926" s="1560"/>
      <c r="AF926" s="1644"/>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 customHeight="1">
      <c r="F927" s="1645" t="s">
        <v>2555</v>
      </c>
      <c r="G927" s="1646"/>
      <c r="H927" s="1646"/>
      <c r="I927" s="1646"/>
      <c r="J927" s="1646"/>
      <c r="K927" s="1646"/>
      <c r="L927" s="1646"/>
      <c r="M927" s="1646"/>
      <c r="N927" s="1646"/>
      <c r="O927" s="1646"/>
      <c r="P927" s="1646"/>
      <c r="Q927" s="1646"/>
      <c r="R927" s="1646"/>
      <c r="S927" s="1646"/>
      <c r="T927" s="1647"/>
      <c r="U927" s="1635" t="s">
        <v>599</v>
      </c>
      <c r="V927" s="1434"/>
      <c r="W927" s="1434"/>
      <c r="X927" s="1434"/>
      <c r="Y927" s="1434"/>
      <c r="Z927" s="1435"/>
      <c r="AA927" s="1643"/>
      <c r="AB927" s="1560"/>
      <c r="AC927" s="1560"/>
      <c r="AD927" s="1560"/>
      <c r="AE927" s="1560"/>
      <c r="AF927" s="1644"/>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 customHeight="1">
      <c r="F928" s="1645" t="s">
        <v>2556</v>
      </c>
      <c r="G928" s="1646"/>
      <c r="H928" s="1646"/>
      <c r="I928" s="1646"/>
      <c r="J928" s="1646"/>
      <c r="K928" s="1646"/>
      <c r="L928" s="1646"/>
      <c r="M928" s="1646"/>
      <c r="N928" s="1646"/>
      <c r="O928" s="1646"/>
      <c r="P928" s="1646"/>
      <c r="Q928" s="1646"/>
      <c r="R928" s="1646"/>
      <c r="S928" s="1646"/>
      <c r="T928" s="1647"/>
      <c r="U928" s="1635" t="s">
        <v>599</v>
      </c>
      <c r="V928" s="1434"/>
      <c r="W928" s="1434"/>
      <c r="X928" s="1434"/>
      <c r="Y928" s="1434"/>
      <c r="Z928" s="1435"/>
      <c r="AA928" s="1643"/>
      <c r="AB928" s="1560"/>
      <c r="AC928" s="1560"/>
      <c r="AD928" s="1560"/>
      <c r="AE928" s="1560"/>
      <c r="AF928" s="1644"/>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 customHeight="1">
      <c r="F929" s="1645" t="s">
        <v>2557</v>
      </c>
      <c r="G929" s="1646"/>
      <c r="H929" s="1646"/>
      <c r="I929" s="1646"/>
      <c r="J929" s="1646"/>
      <c r="K929" s="1646"/>
      <c r="L929" s="1646"/>
      <c r="M929" s="1646"/>
      <c r="N929" s="1646"/>
      <c r="O929" s="1646"/>
      <c r="P929" s="1646"/>
      <c r="Q929" s="1646"/>
      <c r="R929" s="1646"/>
      <c r="S929" s="1646"/>
      <c r="T929" s="1647"/>
      <c r="U929" s="1635" t="s">
        <v>599</v>
      </c>
      <c r="V929" s="1434"/>
      <c r="W929" s="1434"/>
      <c r="X929" s="1434"/>
      <c r="Y929" s="1434"/>
      <c r="Z929" s="1435"/>
      <c r="AA929" s="1643"/>
      <c r="AB929" s="1560"/>
      <c r="AC929" s="1560"/>
      <c r="AD929" s="1560"/>
      <c r="AE929" s="1560"/>
      <c r="AF929" s="1644"/>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 customHeight="1">
      <c r="F930" s="1645" t="s">
        <v>2558</v>
      </c>
      <c r="G930" s="1646"/>
      <c r="H930" s="1646"/>
      <c r="I930" s="1646"/>
      <c r="J930" s="1646"/>
      <c r="K930" s="1646"/>
      <c r="L930" s="1646"/>
      <c r="M930" s="1646"/>
      <c r="N930" s="1646"/>
      <c r="O930" s="1646"/>
      <c r="P930" s="1646"/>
      <c r="Q930" s="1646"/>
      <c r="R930" s="1646"/>
      <c r="S930" s="1646"/>
      <c r="T930" s="1647"/>
      <c r="U930" s="1635" t="s">
        <v>599</v>
      </c>
      <c r="V930" s="1434"/>
      <c r="W930" s="1434"/>
      <c r="X930" s="1434"/>
      <c r="Y930" s="1434"/>
      <c r="Z930" s="1435"/>
      <c r="AA930" s="1643"/>
      <c r="AB930" s="1560"/>
      <c r="AC930" s="1560"/>
      <c r="AD930" s="1560"/>
      <c r="AE930" s="1560"/>
      <c r="AF930" s="1644"/>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 customHeight="1">
      <c r="F931" s="1645" t="s">
        <v>2559</v>
      </c>
      <c r="G931" s="1646"/>
      <c r="H931" s="1646"/>
      <c r="I931" s="1646"/>
      <c r="J931" s="1646"/>
      <c r="K931" s="1646"/>
      <c r="L931" s="1646"/>
      <c r="M931" s="1646"/>
      <c r="N931" s="1646"/>
      <c r="O931" s="1646"/>
      <c r="P931" s="1646"/>
      <c r="Q931" s="1646"/>
      <c r="R931" s="1646"/>
      <c r="S931" s="1646"/>
      <c r="T931" s="1647"/>
      <c r="U931" s="1635" t="s">
        <v>599</v>
      </c>
      <c r="V931" s="1434"/>
      <c r="W931" s="1434"/>
      <c r="X931" s="1434"/>
      <c r="Y931" s="1434"/>
      <c r="Z931" s="1435"/>
      <c r="AA931" s="1643"/>
      <c r="AB931" s="1560"/>
      <c r="AC931" s="1560"/>
      <c r="AD931" s="1560"/>
      <c r="AE931" s="1560"/>
      <c r="AF931" s="1644"/>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 customHeight="1">
      <c r="F932" s="187" t="s">
        <v>684</v>
      </c>
      <c r="G932" s="5"/>
      <c r="H932" s="5"/>
      <c r="I932" s="5"/>
      <c r="J932" s="5"/>
      <c r="K932" s="5"/>
      <c r="L932" s="5"/>
      <c r="M932" s="5"/>
      <c r="N932" s="5"/>
      <c r="O932" s="5"/>
      <c r="P932" s="5"/>
      <c r="Q932" s="5"/>
      <c r="R932" s="5"/>
      <c r="S932" s="5"/>
      <c r="T932" s="46"/>
      <c r="U932" s="1635" t="s">
        <v>599</v>
      </c>
      <c r="V932" s="1434"/>
      <c r="W932" s="1434"/>
      <c r="X932" s="1434"/>
      <c r="Y932" s="1434"/>
      <c r="Z932" s="1435"/>
      <c r="AA932" s="1643"/>
      <c r="AB932" s="1560"/>
      <c r="AC932" s="1560"/>
      <c r="AD932" s="1560"/>
      <c r="AE932" s="1560"/>
      <c r="AF932" s="164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 customHeight="1">
      <c r="F933" s="121" t="s">
        <v>1387</v>
      </c>
      <c r="G933" s="5"/>
      <c r="H933" s="5"/>
      <c r="I933" s="5"/>
      <c r="J933" s="5"/>
      <c r="K933" s="5"/>
      <c r="L933" s="5"/>
      <c r="M933" s="5"/>
      <c r="N933" s="5"/>
      <c r="O933" s="5"/>
      <c r="P933" s="5"/>
      <c r="Q933" s="5"/>
      <c r="R933" s="5"/>
      <c r="S933" s="5"/>
      <c r="T933" s="46"/>
      <c r="U933" s="1635" t="s">
        <v>599</v>
      </c>
      <c r="V933" s="1434"/>
      <c r="W933" s="1434"/>
      <c r="X933" s="1434"/>
      <c r="Y933" s="1434"/>
      <c r="Z933" s="1435"/>
      <c r="AA933" s="1643"/>
      <c r="AB933" s="1560"/>
      <c r="AC933" s="1560"/>
      <c r="AD933" s="1560"/>
      <c r="AE933" s="1560"/>
      <c r="AF933" s="1644"/>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 customHeight="1">
      <c r="F934" s="66" t="s">
        <v>811</v>
      </c>
      <c r="G934" s="5"/>
      <c r="H934" s="5"/>
      <c r="I934" s="5"/>
      <c r="J934" s="5"/>
      <c r="K934" s="5"/>
      <c r="L934" s="5"/>
      <c r="M934" s="5"/>
      <c r="N934" s="5"/>
      <c r="O934" s="5"/>
      <c r="P934" s="5"/>
      <c r="Q934" s="5"/>
      <c r="R934" s="5"/>
      <c r="S934" s="5"/>
      <c r="T934" s="46"/>
      <c r="U934" s="1635" t="s">
        <v>599</v>
      </c>
      <c r="V934" s="1434"/>
      <c r="W934" s="1434"/>
      <c r="X934" s="1434"/>
      <c r="Y934" s="1434"/>
      <c r="Z934" s="1435"/>
      <c r="AA934" s="1643"/>
      <c r="AB934" s="1560"/>
      <c r="AC934" s="1560"/>
      <c r="AD934" s="1560"/>
      <c r="AE934" s="1560"/>
      <c r="AF934" s="1644"/>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 customHeight="1">
      <c r="F935" s="1685" t="s">
        <v>2563</v>
      </c>
      <c r="G935" s="1686"/>
      <c r="H935" s="1686"/>
      <c r="I935" s="1686"/>
      <c r="J935" s="1686"/>
      <c r="K935" s="1686"/>
      <c r="L935" s="1686"/>
      <c r="M935" s="1686"/>
      <c r="N935" s="1686"/>
      <c r="O935" s="1686"/>
      <c r="P935" s="1686"/>
      <c r="Q935" s="1686"/>
      <c r="R935" s="1686"/>
      <c r="S935" s="1686"/>
      <c r="T935" s="1687"/>
      <c r="U935" s="1635" t="s">
        <v>599</v>
      </c>
      <c r="V935" s="1434"/>
      <c r="W935" s="1434"/>
      <c r="X935" s="1434"/>
      <c r="Y935" s="1434"/>
      <c r="Z935" s="1435"/>
      <c r="AA935" s="1643"/>
      <c r="AB935" s="1560"/>
      <c r="AC935" s="1560"/>
      <c r="AD935" s="1560"/>
      <c r="AE935" s="1560"/>
      <c r="AF935" s="1644"/>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 customHeight="1">
      <c r="F936" s="1685" t="s">
        <v>2564</v>
      </c>
      <c r="G936" s="1686"/>
      <c r="H936" s="1686"/>
      <c r="I936" s="1686"/>
      <c r="J936" s="1686"/>
      <c r="K936" s="1686"/>
      <c r="L936" s="1686"/>
      <c r="M936" s="1686"/>
      <c r="N936" s="1686"/>
      <c r="O936" s="1686"/>
      <c r="P936" s="1686"/>
      <c r="Q936" s="1686"/>
      <c r="R936" s="1686"/>
      <c r="S936" s="1686"/>
      <c r="T936" s="1687"/>
      <c r="U936" s="1635" t="s">
        <v>599</v>
      </c>
      <c r="V936" s="1434"/>
      <c r="W936" s="1434"/>
      <c r="X936" s="1434"/>
      <c r="Y936" s="1434"/>
      <c r="Z936" s="1435"/>
      <c r="AA936" s="1643"/>
      <c r="AB936" s="1560"/>
      <c r="AC936" s="1560"/>
      <c r="AD936" s="1560"/>
      <c r="AE936" s="1560"/>
      <c r="AF936" s="1644"/>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 customHeight="1">
      <c r="F937" s="1645" t="s">
        <v>2560</v>
      </c>
      <c r="G937" s="1646"/>
      <c r="H937" s="1646"/>
      <c r="I937" s="1646"/>
      <c r="J937" s="1646"/>
      <c r="K937" s="1646"/>
      <c r="L937" s="1646"/>
      <c r="M937" s="1646"/>
      <c r="N937" s="1646"/>
      <c r="O937" s="1646"/>
      <c r="P937" s="1646"/>
      <c r="Q937" s="1646"/>
      <c r="R937" s="1646"/>
      <c r="S937" s="1646"/>
      <c r="T937" s="1647"/>
      <c r="U937" s="1635" t="s">
        <v>599</v>
      </c>
      <c r="V937" s="1434"/>
      <c r="W937" s="1434"/>
      <c r="X937" s="1434"/>
      <c r="Y937" s="1434"/>
      <c r="Z937" s="1435"/>
      <c r="AA937" s="1643"/>
      <c r="AB937" s="1560"/>
      <c r="AC937" s="1560"/>
      <c r="AD937" s="1560"/>
      <c r="AE937" s="1560"/>
      <c r="AF937" s="1644"/>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 customHeight="1">
      <c r="F938" s="1645" t="s">
        <v>2561</v>
      </c>
      <c r="G938" s="1646"/>
      <c r="H938" s="1646"/>
      <c r="I938" s="1646"/>
      <c r="J938" s="1646"/>
      <c r="K938" s="1646"/>
      <c r="L938" s="1646"/>
      <c r="M938" s="1646"/>
      <c r="N938" s="1646"/>
      <c r="O938" s="1646"/>
      <c r="P938" s="1646"/>
      <c r="Q938" s="1646"/>
      <c r="R938" s="1646"/>
      <c r="S938" s="1646"/>
      <c r="T938" s="1647"/>
      <c r="U938" s="1635" t="s">
        <v>599</v>
      </c>
      <c r="V938" s="1434"/>
      <c r="W938" s="1434"/>
      <c r="X938" s="1434"/>
      <c r="Y938" s="1434"/>
      <c r="Z938" s="143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 customHeight="1">
      <c r="F939" s="1645" t="s">
        <v>2562</v>
      </c>
      <c r="G939" s="1646"/>
      <c r="H939" s="1646"/>
      <c r="I939" s="1646"/>
      <c r="J939" s="1646"/>
      <c r="K939" s="1646"/>
      <c r="L939" s="1646"/>
      <c r="M939" s="1646"/>
      <c r="N939" s="1646"/>
      <c r="O939" s="1646"/>
      <c r="P939" s="1646"/>
      <c r="Q939" s="1646"/>
      <c r="R939" s="1646"/>
      <c r="S939" s="1646"/>
      <c r="T939" s="1647"/>
      <c r="U939" s="1635" t="s">
        <v>599</v>
      </c>
      <c r="V939" s="1434"/>
      <c r="W939" s="1434"/>
      <c r="X939" s="1434"/>
      <c r="Y939" s="1434"/>
      <c r="Z939" s="143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 customHeight="1">
      <c r="F940" s="121" t="s">
        <v>1371</v>
      </c>
      <c r="G940" s="5"/>
      <c r="H940" s="5"/>
      <c r="I940" s="5"/>
      <c r="J940" s="5"/>
      <c r="K940" s="5"/>
      <c r="L940" s="5"/>
      <c r="M940" s="5"/>
      <c r="N940" s="5"/>
      <c r="O940" s="5"/>
      <c r="P940" s="5"/>
      <c r="Q940" s="5"/>
      <c r="R940" s="5"/>
      <c r="S940" s="5"/>
      <c r="T940" s="46"/>
      <c r="U940" s="1635" t="s">
        <v>599</v>
      </c>
      <c r="V940" s="1434"/>
      <c r="W940" s="1434"/>
      <c r="X940" s="1434"/>
      <c r="Y940" s="1434"/>
      <c r="Z940" s="1435"/>
      <c r="AA940" s="1643"/>
      <c r="AB940" s="1560"/>
      <c r="AC940" s="1560"/>
      <c r="AD940" s="1560"/>
      <c r="AE940" s="1560"/>
      <c r="AF940" s="1644"/>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 customHeight="1">
      <c r="F941" s="1685" t="s">
        <v>2565</v>
      </c>
      <c r="G941" s="1686"/>
      <c r="H941" s="1686"/>
      <c r="I941" s="1686"/>
      <c r="J941" s="1686"/>
      <c r="K941" s="1686"/>
      <c r="L941" s="1686"/>
      <c r="M941" s="1686"/>
      <c r="N941" s="1686"/>
      <c r="O941" s="1686"/>
      <c r="P941" s="1686"/>
      <c r="Q941" s="1686"/>
      <c r="R941" s="1686"/>
      <c r="S941" s="1686"/>
      <c r="T941" s="1687"/>
      <c r="U941" s="1635" t="s">
        <v>599</v>
      </c>
      <c r="V941" s="1434"/>
      <c r="W941" s="1434"/>
      <c r="X941" s="1434"/>
      <c r="Y941" s="1434"/>
      <c r="Z941" s="1435"/>
      <c r="AA941" s="1643"/>
      <c r="AB941" s="1560"/>
      <c r="AC941" s="1560"/>
      <c r="AD941" s="1560"/>
      <c r="AE941" s="1560"/>
      <c r="AF941" s="164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 customHeight="1">
      <c r="F942" s="121" t="s">
        <v>1372</v>
      </c>
      <c r="G942" s="5"/>
      <c r="H942" s="5"/>
      <c r="I942" s="5"/>
      <c r="J942" s="5"/>
      <c r="K942" s="5"/>
      <c r="L942" s="5"/>
      <c r="M942" s="5"/>
      <c r="N942" s="5"/>
      <c r="O942" s="5"/>
      <c r="P942" s="5"/>
      <c r="Q942" s="5"/>
      <c r="R942" s="5"/>
      <c r="S942" s="5"/>
      <c r="T942" s="46"/>
      <c r="U942" s="1635" t="s">
        <v>599</v>
      </c>
      <c r="V942" s="1434"/>
      <c r="W942" s="1434"/>
      <c r="X942" s="1434"/>
      <c r="Y942" s="1434"/>
      <c r="Z942" s="1435"/>
      <c r="AA942" s="1643"/>
      <c r="AB942" s="1560"/>
      <c r="AC942" s="1560"/>
      <c r="AD942" s="1560"/>
      <c r="AE942" s="1560"/>
      <c r="AF942" s="164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 customHeight="1">
      <c r="F943" s="1685" t="s">
        <v>2566</v>
      </c>
      <c r="G943" s="1686"/>
      <c r="H943" s="1686"/>
      <c r="I943" s="1686"/>
      <c r="J943" s="1686"/>
      <c r="K943" s="1686"/>
      <c r="L943" s="1686"/>
      <c r="M943" s="1686"/>
      <c r="N943" s="1686"/>
      <c r="O943" s="1686"/>
      <c r="P943" s="1686"/>
      <c r="Q943" s="1686"/>
      <c r="R943" s="1686"/>
      <c r="S943" s="1686"/>
      <c r="T943" s="1687"/>
      <c r="U943" s="1635" t="s">
        <v>599</v>
      </c>
      <c r="V943" s="1434"/>
      <c r="W943" s="1434"/>
      <c r="X943" s="1434"/>
      <c r="Y943" s="1434"/>
      <c r="Z943" s="1435"/>
      <c r="AA943" s="1643"/>
      <c r="AB943" s="1560"/>
      <c r="AC943" s="1560"/>
      <c r="AD943" s="1560"/>
      <c r="AE943" s="1560"/>
      <c r="AF943" s="164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 customHeight="1">
      <c r="F944" s="45" t="s">
        <v>815</v>
      </c>
      <c r="G944" s="5"/>
      <c r="H944" s="5"/>
      <c r="I944" s="5"/>
      <c r="J944" s="5"/>
      <c r="K944" s="5"/>
      <c r="L944" s="5"/>
      <c r="M944" s="5"/>
      <c r="N944" s="5"/>
      <c r="O944" s="5"/>
      <c r="P944" s="1635" t="s">
        <v>677</v>
      </c>
      <c r="Q944" s="1434"/>
      <c r="R944" s="1434"/>
      <c r="S944" s="1434"/>
      <c r="T944" s="1435"/>
      <c r="U944" s="1635" t="s">
        <v>599</v>
      </c>
      <c r="V944" s="1434"/>
      <c r="W944" s="1434"/>
      <c r="X944" s="1434"/>
      <c r="Y944" s="1434"/>
      <c r="Z944" s="1435"/>
      <c r="AA944" s="1643"/>
      <c r="AB944" s="1560"/>
      <c r="AC944" s="1560"/>
      <c r="AD944" s="1560"/>
      <c r="AE944" s="1560"/>
      <c r="AF944" s="164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645" t="s">
        <v>2553</v>
      </c>
      <c r="G945" s="1646"/>
      <c r="H945" s="1647"/>
      <c r="I945" s="1602" t="s">
        <v>335</v>
      </c>
      <c r="J945" s="1603"/>
      <c r="K945" s="1603"/>
      <c r="L945" s="1603"/>
      <c r="M945" s="1603"/>
      <c r="N945" s="1603"/>
      <c r="O945" s="1603"/>
      <c r="P945" s="1603"/>
      <c r="Q945" s="1603"/>
      <c r="R945" s="1603"/>
      <c r="S945" s="1603"/>
      <c r="T945" s="1604"/>
      <c r="U945" s="1635" t="s">
        <v>599</v>
      </c>
      <c r="V945" s="1434"/>
      <c r="W945" s="1434"/>
      <c r="X945" s="1434"/>
      <c r="Y945" s="1434"/>
      <c r="Z945" s="1435"/>
      <c r="AA945" s="1643"/>
      <c r="AB945" s="1560"/>
      <c r="AC945" s="1560"/>
      <c r="AD945" s="1560"/>
      <c r="AE945" s="1560"/>
      <c r="AF945" s="164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F946" s="45" t="s">
        <v>86</v>
      </c>
      <c r="G946" s="48"/>
      <c r="H946" s="48"/>
      <c r="I946" s="1602" t="s">
        <v>335</v>
      </c>
      <c r="J946" s="1603"/>
      <c r="K946" s="1603"/>
      <c r="L946" s="1603"/>
      <c r="M946" s="1603"/>
      <c r="N946" s="1603"/>
      <c r="O946" s="1603"/>
      <c r="P946" s="1603"/>
      <c r="Q946" s="1603"/>
      <c r="R946" s="1603"/>
      <c r="S946" s="1603"/>
      <c r="T946" s="1604"/>
      <c r="U946" s="1635" t="s">
        <v>599</v>
      </c>
      <c r="V946" s="1434"/>
      <c r="W946" s="1434"/>
      <c r="X946" s="1434"/>
      <c r="Y946" s="1434"/>
      <c r="Z946" s="1435"/>
      <c r="AA946" s="1643"/>
      <c r="AB946" s="1560"/>
      <c r="AC946" s="1560"/>
      <c r="AD946" s="1560"/>
      <c r="AE946" s="1560"/>
      <c r="AF946" s="164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F947" s="45" t="s">
        <v>10</v>
      </c>
      <c r="G947" s="48"/>
      <c r="H947" s="48"/>
      <c r="I947" s="1602" t="s">
        <v>2721</v>
      </c>
      <c r="J947" s="1669"/>
      <c r="K947" s="1669"/>
      <c r="L947" s="1669"/>
      <c r="M947" s="1669"/>
      <c r="N947" s="1669"/>
      <c r="O947" s="1669"/>
      <c r="P947" s="1669"/>
      <c r="Q947" s="1669"/>
      <c r="R947" s="1669"/>
      <c r="S947" s="1669"/>
      <c r="T947" s="1670"/>
      <c r="U947" s="1635" t="s">
        <v>553</v>
      </c>
      <c r="V947" s="1434"/>
      <c r="W947" s="1434"/>
      <c r="X947" s="1434"/>
      <c r="Y947" s="1434"/>
      <c r="Z947" s="1435"/>
      <c r="AA947" s="1643">
        <v>5157949</v>
      </c>
      <c r="AB947" s="1560"/>
      <c r="AC947" s="1560"/>
      <c r="AD947" s="1560"/>
      <c r="AE947" s="1560"/>
      <c r="AF947" s="1644"/>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F948" s="47" t="s">
        <v>170</v>
      </c>
      <c r="G948" s="48"/>
      <c r="H948" s="48"/>
      <c r="I948" s="1668" t="s">
        <v>2643</v>
      </c>
      <c r="J948" s="1669"/>
      <c r="K948" s="1669"/>
      <c r="L948" s="1669"/>
      <c r="M948" s="1669"/>
      <c r="N948" s="1669"/>
      <c r="O948" s="1669"/>
      <c r="P948" s="1669"/>
      <c r="Q948" s="1669"/>
      <c r="R948" s="1669"/>
      <c r="S948" s="1669"/>
      <c r="T948" s="1670"/>
      <c r="U948" s="1635" t="s">
        <v>553</v>
      </c>
      <c r="V948" s="1434"/>
      <c r="W948" s="1434"/>
      <c r="X948" s="1434"/>
      <c r="Y948" s="1434"/>
      <c r="Z948" s="1435"/>
      <c r="AA948" s="1643">
        <v>5500000</v>
      </c>
      <c r="AB948" s="1560"/>
      <c r="AC948" s="1560"/>
      <c r="AD948" s="1560"/>
      <c r="AE948" s="1560"/>
      <c r="AF948" s="1644"/>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F949" s="47" t="s">
        <v>170</v>
      </c>
      <c r="G949" s="48"/>
      <c r="H949" s="48"/>
      <c r="I949" s="1668" t="s">
        <v>335</v>
      </c>
      <c r="J949" s="1669"/>
      <c r="K949" s="1669"/>
      <c r="L949" s="1669"/>
      <c r="M949" s="1669"/>
      <c r="N949" s="1669"/>
      <c r="O949" s="1669"/>
      <c r="P949" s="1669"/>
      <c r="Q949" s="1669"/>
      <c r="R949" s="1669"/>
      <c r="S949" s="1669"/>
      <c r="T949" s="1670"/>
      <c r="U949" s="1635" t="s">
        <v>599</v>
      </c>
      <c r="V949" s="1434"/>
      <c r="W949" s="1434"/>
      <c r="X949" s="1434"/>
      <c r="Y949" s="1434"/>
      <c r="Z949" s="1435"/>
      <c r="AA949" s="1643"/>
      <c r="AB949" s="1560"/>
      <c r="AC949" s="1560"/>
      <c r="AD949" s="1560"/>
      <c r="AE949" s="1560"/>
      <c r="AF949" s="1644"/>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 customHeight="1">
      <c r="C954" s="66" t="s">
        <v>11</v>
      </c>
      <c r="D954" s="5"/>
      <c r="E954" s="5"/>
      <c r="F954" s="5"/>
      <c r="G954" s="5"/>
      <c r="H954" s="5"/>
      <c r="I954" s="5"/>
      <c r="J954" s="5"/>
      <c r="K954" s="5"/>
      <c r="L954" s="46"/>
      <c r="M954" s="1665">
        <v>45378</v>
      </c>
      <c r="N954" s="1606"/>
      <c r="O954" s="1606"/>
      <c r="P954" s="1606"/>
      <c r="Q954" s="1606"/>
      <c r="R954" s="1606"/>
      <c r="S954" s="1607"/>
      <c r="U954" s="66" t="s">
        <v>11</v>
      </c>
      <c r="V954" s="5"/>
      <c r="W954" s="5"/>
      <c r="X954" s="5"/>
      <c r="Y954" s="5"/>
      <c r="Z954" s="5"/>
      <c r="AA954" s="5"/>
      <c r="AB954" s="5"/>
      <c r="AC954" s="5"/>
      <c r="AD954" s="46"/>
      <c r="AE954" s="1665"/>
      <c r="AF954" s="1606"/>
      <c r="AG954" s="1606"/>
      <c r="AH954" s="1606"/>
      <c r="AI954" s="1606"/>
      <c r="AJ954" s="1606"/>
      <c r="AK954" s="160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 customHeight="1">
      <c r="C955" s="66" t="s">
        <v>12</v>
      </c>
      <c r="D955" s="5"/>
      <c r="E955" s="5"/>
      <c r="F955" s="5"/>
      <c r="G955" s="5"/>
      <c r="H955" s="5"/>
      <c r="I955" s="5"/>
      <c r="J955" s="5"/>
      <c r="K955" s="5"/>
      <c r="L955" s="46"/>
      <c r="M955" s="1450" t="s">
        <v>2763</v>
      </c>
      <c r="N955" s="1444"/>
      <c r="O955" s="1444"/>
      <c r="P955" s="1444"/>
      <c r="Q955" s="1444"/>
      <c r="R955" s="1444"/>
      <c r="S955" s="1759"/>
      <c r="U955" s="66" t="s">
        <v>12</v>
      </c>
      <c r="V955" s="5"/>
      <c r="W955" s="5"/>
      <c r="X955" s="5"/>
      <c r="Y955" s="5"/>
      <c r="Z955" s="5"/>
      <c r="AA955" s="5"/>
      <c r="AB955" s="5"/>
      <c r="AC955" s="5"/>
      <c r="AD955" s="46"/>
      <c r="AE955" s="1450"/>
      <c r="AF955" s="1444"/>
      <c r="AG955" s="1444"/>
      <c r="AH955" s="1444"/>
      <c r="AI955" s="1444"/>
      <c r="AJ955" s="1444"/>
      <c r="AK955" s="175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 customHeight="1">
      <c r="C956" s="66" t="s">
        <v>892</v>
      </c>
      <c r="D956" s="5"/>
      <c r="E956" s="5"/>
      <c r="J956" s="1662" t="s">
        <v>2764</v>
      </c>
      <c r="K956" s="1663"/>
      <c r="L956" s="1663"/>
      <c r="M956" s="1663"/>
      <c r="N956" s="1663"/>
      <c r="O956" s="1663"/>
      <c r="P956" s="1663"/>
      <c r="Q956" s="1663"/>
      <c r="R956" s="1663"/>
      <c r="S956" s="1664"/>
      <c r="U956" s="66" t="s">
        <v>892</v>
      </c>
      <c r="V956" s="5"/>
      <c r="W956" s="5"/>
      <c r="AB956" s="1662" t="s">
        <v>308</v>
      </c>
      <c r="AC956" s="1663"/>
      <c r="AD956" s="1663"/>
      <c r="AE956" s="1663"/>
      <c r="AF956" s="1663"/>
      <c r="AG956" s="1663"/>
      <c r="AH956" s="1663"/>
      <c r="AI956" s="1663"/>
      <c r="AJ956" s="1663"/>
      <c r="AK956" s="166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 customHeight="1">
      <c r="C957" s="66" t="s">
        <v>13</v>
      </c>
      <c r="D957" s="5"/>
      <c r="E957" s="5"/>
      <c r="F957" s="5"/>
      <c r="G957" s="5"/>
      <c r="H957" s="5"/>
      <c r="I957" s="5"/>
      <c r="J957" s="5"/>
      <c r="K957" s="5"/>
      <c r="L957" s="46"/>
      <c r="M957" s="1755">
        <v>0.05</v>
      </c>
      <c r="N957" s="1756"/>
      <c r="O957" s="1756"/>
      <c r="P957" s="1756"/>
      <c r="Q957" s="1756"/>
      <c r="R957" s="1756"/>
      <c r="S957" s="1757"/>
      <c r="U957" s="66" t="s">
        <v>13</v>
      </c>
      <c r="V957" s="5"/>
      <c r="W957" s="5"/>
      <c r="X957" s="5"/>
      <c r="Y957" s="5"/>
      <c r="Z957" s="5"/>
      <c r="AA957" s="5"/>
      <c r="AB957" s="5"/>
      <c r="AC957" s="5"/>
      <c r="AD957" s="46"/>
      <c r="AE957" s="1758"/>
      <c r="AF957" s="1756"/>
      <c r="AG957" s="1756"/>
      <c r="AH957" s="1756"/>
      <c r="AI957" s="1756"/>
      <c r="AJ957" s="1756"/>
      <c r="AK957" s="175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 customHeight="1">
      <c r="C958" s="66" t="s">
        <v>14</v>
      </c>
      <c r="D958" s="5"/>
      <c r="E958" s="5"/>
      <c r="F958" s="5"/>
      <c r="G958" s="5"/>
      <c r="H958" s="5"/>
      <c r="I958" s="5"/>
      <c r="J958" s="5"/>
      <c r="K958" s="5"/>
      <c r="L958" s="46"/>
      <c r="M958" s="1589">
        <v>8</v>
      </c>
      <c r="N958" s="1583"/>
      <c r="O958" s="1583"/>
      <c r="P958" s="1583"/>
      <c r="Q958" s="1583"/>
      <c r="R958" s="1583"/>
      <c r="S958" s="1584"/>
      <c r="U958" s="66" t="s">
        <v>14</v>
      </c>
      <c r="V958" s="5"/>
      <c r="W958" s="5"/>
      <c r="X958" s="5"/>
      <c r="Y958" s="5"/>
      <c r="Z958" s="5"/>
      <c r="AA958" s="5"/>
      <c r="AB958" s="5"/>
      <c r="AC958" s="5"/>
      <c r="AD958" s="46"/>
      <c r="AE958" s="1589"/>
      <c r="AF958" s="1583"/>
      <c r="AG958" s="1583"/>
      <c r="AH958" s="1583"/>
      <c r="AI958" s="1583"/>
      <c r="AJ958" s="1583"/>
      <c r="AK958" s="1584"/>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 customHeight="1">
      <c r="C959" s="66" t="s">
        <v>15</v>
      </c>
      <c r="D959" s="5"/>
      <c r="E959" s="5"/>
      <c r="F959" s="5"/>
      <c r="G959" s="5"/>
      <c r="H959" s="5"/>
      <c r="I959" s="5"/>
      <c r="J959" s="5"/>
      <c r="K959" s="5"/>
      <c r="L959" s="46"/>
      <c r="M959" s="1643">
        <v>222581</v>
      </c>
      <c r="N959" s="1560"/>
      <c r="O959" s="1560"/>
      <c r="P959" s="1560"/>
      <c r="Q959" s="1560"/>
      <c r="R959" s="1560"/>
      <c r="S959" s="1644"/>
      <c r="U959" s="66" t="s">
        <v>15</v>
      </c>
      <c r="V959" s="5"/>
      <c r="W959" s="5"/>
      <c r="X959" s="5"/>
      <c r="Y959" s="5"/>
      <c r="Z959" s="5"/>
      <c r="AA959" s="5"/>
      <c r="AB959" s="5"/>
      <c r="AC959" s="5"/>
      <c r="AD959" s="46"/>
      <c r="AE959" s="1643"/>
      <c r="AF959" s="1560"/>
      <c r="AG959" s="1560"/>
      <c r="AH959" s="1560"/>
      <c r="AI959" s="1560"/>
      <c r="AJ959" s="1560"/>
      <c r="AK959" s="1644"/>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C960" s="66" t="s">
        <v>16</v>
      </c>
      <c r="D960" s="5"/>
      <c r="E960" s="5"/>
      <c r="F960" s="5"/>
      <c r="G960" s="5"/>
      <c r="H960" s="5"/>
      <c r="I960" s="5"/>
      <c r="J960" s="5"/>
      <c r="K960" s="5"/>
      <c r="L960" s="46"/>
      <c r="M960" s="1643">
        <f>+M961*M959</f>
        <v>4451620</v>
      </c>
      <c r="N960" s="1560"/>
      <c r="O960" s="1560"/>
      <c r="P960" s="1560"/>
      <c r="Q960" s="1560"/>
      <c r="R960" s="1560"/>
      <c r="S960" s="1644"/>
      <c r="U960" s="66" t="s">
        <v>16</v>
      </c>
      <c r="V960" s="5"/>
      <c r="W960" s="5"/>
      <c r="X960" s="5"/>
      <c r="Y960" s="5"/>
      <c r="Z960" s="5"/>
      <c r="AA960" s="5"/>
      <c r="AB960" s="5"/>
      <c r="AC960" s="5"/>
      <c r="AD960" s="46"/>
      <c r="AE960" s="1643"/>
      <c r="AF960" s="1560"/>
      <c r="AG960" s="1560"/>
      <c r="AH960" s="1560"/>
      <c r="AI960" s="1560"/>
      <c r="AJ960" s="1560"/>
      <c r="AK960" s="1644"/>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 customHeight="1">
      <c r="C961" s="121" t="s">
        <v>1775</v>
      </c>
      <c r="D961" s="5"/>
      <c r="E961" s="5"/>
      <c r="F961" s="5"/>
      <c r="G961" s="5"/>
      <c r="H961" s="5"/>
      <c r="I961" s="5"/>
      <c r="J961" s="5"/>
      <c r="K961" s="5"/>
      <c r="L961" s="46"/>
      <c r="M961" s="1826">
        <v>20</v>
      </c>
      <c r="N961" s="1827"/>
      <c r="O961" s="1827"/>
      <c r="P961" s="1827"/>
      <c r="Q961" s="1827"/>
      <c r="R961" s="1827"/>
      <c r="S961" s="1828"/>
      <c r="U961" s="121" t="s">
        <v>1775</v>
      </c>
      <c r="V961" s="5"/>
      <c r="W961" s="5"/>
      <c r="X961" s="5"/>
      <c r="Y961" s="5"/>
      <c r="Z961" s="5"/>
      <c r="AA961" s="5"/>
      <c r="AB961" s="5"/>
      <c r="AC961" s="5"/>
      <c r="AD961" s="46"/>
      <c r="AE961" s="1826"/>
      <c r="AF961" s="1827"/>
      <c r="AG961" s="1827"/>
      <c r="AH961" s="1827"/>
      <c r="AI961" s="1827"/>
      <c r="AJ961" s="1827"/>
      <c r="AK961" s="182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45" t="s">
        <v>579</v>
      </c>
      <c r="G966" s="5"/>
      <c r="H966" s="5"/>
      <c r="I966" s="5"/>
      <c r="J966" s="5"/>
      <c r="K966" s="5"/>
      <c r="L966" s="46"/>
      <c r="M966" s="1671"/>
      <c r="N966" s="1672"/>
      <c r="O966" s="1672"/>
      <c r="P966" s="1672"/>
      <c r="Q966" s="1672"/>
      <c r="R966" s="1672"/>
      <c r="S966" s="1673"/>
      <c r="T966" s="66" t="s">
        <v>799</v>
      </c>
      <c r="U966" s="5"/>
      <c r="V966" s="5"/>
      <c r="W966" s="5"/>
      <c r="X966" s="5"/>
      <c r="Y966" s="5"/>
      <c r="Z966" s="46"/>
      <c r="AA966" s="1671"/>
      <c r="AB966" s="1672"/>
      <c r="AC966" s="1672"/>
      <c r="AD966" s="1672"/>
      <c r="AE966" s="1672"/>
      <c r="AF966" s="1672"/>
      <c r="AG966" s="167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45" t="s">
        <v>580</v>
      </c>
      <c r="G967" s="5"/>
      <c r="H967" s="5"/>
      <c r="I967" s="5"/>
      <c r="J967" s="5"/>
      <c r="K967" s="5"/>
      <c r="L967" s="46"/>
      <c r="M967" s="1671"/>
      <c r="N967" s="1672"/>
      <c r="O967" s="1672"/>
      <c r="P967" s="1672"/>
      <c r="Q967" s="1672"/>
      <c r="R967" s="1672"/>
      <c r="S967" s="1673"/>
      <c r="T967" s="66" t="s">
        <v>798</v>
      </c>
      <c r="U967" s="5"/>
      <c r="V967" s="5"/>
      <c r="W967" s="5"/>
      <c r="X967" s="5"/>
      <c r="Y967" s="5"/>
      <c r="Z967" s="46"/>
      <c r="AA967" s="1671"/>
      <c r="AB967" s="1672"/>
      <c r="AC967" s="1672"/>
      <c r="AD967" s="1672"/>
      <c r="AE967" s="1672"/>
      <c r="AF967" s="1672"/>
      <c r="AG967" s="167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45" t="s">
        <v>916</v>
      </c>
      <c r="G968" s="5"/>
      <c r="H968" s="5"/>
      <c r="I968" s="5"/>
      <c r="J968" s="5"/>
      <c r="K968" s="5"/>
      <c r="L968" s="46"/>
      <c r="M968" s="1752" t="s">
        <v>599</v>
      </c>
      <c r="N968" s="1753"/>
      <c r="O968" s="1753"/>
      <c r="P968" s="1753"/>
      <c r="Q968" s="1753"/>
      <c r="R968" s="1753"/>
      <c r="S968" s="1754"/>
      <c r="T968" s="45" t="s">
        <v>338</v>
      </c>
      <c r="U968" s="5"/>
      <c r="V968" s="5"/>
      <c r="W968" s="5"/>
      <c r="X968" s="5"/>
      <c r="Y968" s="5"/>
      <c r="Z968" s="46"/>
      <c r="AA968" s="1671"/>
      <c r="AB968" s="1672"/>
      <c r="AC968" s="1672"/>
      <c r="AD968" s="1672"/>
      <c r="AE968" s="1672"/>
      <c r="AF968" s="1672"/>
      <c r="AG968" s="167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45" t="s">
        <v>581</v>
      </c>
      <c r="G969" s="5"/>
      <c r="H969" s="5"/>
      <c r="I969" s="5"/>
      <c r="J969" s="5"/>
      <c r="K969" s="5"/>
      <c r="L969" s="46"/>
      <c r="M969" s="1671"/>
      <c r="N969" s="1672"/>
      <c r="O969" s="1672"/>
      <c r="P969" s="1672"/>
      <c r="Q969" s="1672"/>
      <c r="R969" s="1672"/>
      <c r="S969" s="1673"/>
      <c r="T969" s="45" t="s">
        <v>339</v>
      </c>
      <c r="U969" s="5"/>
      <c r="V969" s="5"/>
      <c r="W969" s="5"/>
      <c r="X969" s="5"/>
      <c r="Y969" s="5"/>
      <c r="Z969" s="46"/>
      <c r="AA969" s="1671"/>
      <c r="AB969" s="1672"/>
      <c r="AC969" s="1672"/>
      <c r="AD969" s="1672"/>
      <c r="AE969" s="1672"/>
      <c r="AF969" s="1672"/>
      <c r="AG969" s="167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45" t="s">
        <v>472</v>
      </c>
      <c r="G970" s="5"/>
      <c r="H970" s="5"/>
      <c r="I970" s="5"/>
      <c r="J970" s="5"/>
      <c r="K970" s="5"/>
      <c r="L970" s="46"/>
      <c r="M970" s="1671"/>
      <c r="N970" s="1672"/>
      <c r="O970" s="1672"/>
      <c r="P970" s="1672"/>
      <c r="Q970" s="1672"/>
      <c r="R970" s="1672"/>
      <c r="S970" s="1673"/>
      <c r="T970" s="45" t="s">
        <v>377</v>
      </c>
      <c r="U970" s="5"/>
      <c r="V970" s="5"/>
      <c r="W970" s="5"/>
      <c r="X970" s="5"/>
      <c r="Y970" s="5"/>
      <c r="Z970" s="46"/>
      <c r="AA970" s="1671"/>
      <c r="AB970" s="1672"/>
      <c r="AC970" s="1672"/>
      <c r="AD970" s="1672"/>
      <c r="AE970" s="1672"/>
      <c r="AF970" s="1672"/>
      <c r="AG970" s="167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260" t="s">
        <v>892</v>
      </c>
      <c r="G971" s="42"/>
      <c r="H971" s="42"/>
      <c r="I971" s="42"/>
      <c r="J971" s="42"/>
      <c r="K971" s="42"/>
      <c r="L971" s="58"/>
      <c r="M971" s="1691" t="s">
        <v>308</v>
      </c>
      <c r="N971" s="1692"/>
      <c r="O971" s="1692"/>
      <c r="P971" s="1692"/>
      <c r="Q971" s="1692"/>
      <c r="R971" s="1692"/>
      <c r="S971" s="1693"/>
      <c r="T971" s="1749"/>
      <c r="U971" s="1750"/>
      <c r="V971" s="1750"/>
      <c r="W971" s="1750"/>
      <c r="X971" s="1750"/>
      <c r="Y971" s="1750"/>
      <c r="Z971" s="1751"/>
      <c r="AA971" s="1671"/>
      <c r="AB971" s="1672"/>
      <c r="AC971" s="1672"/>
      <c r="AD971" s="1672"/>
      <c r="AE971" s="1672"/>
      <c r="AF971" s="1672"/>
      <c r="AG971" s="167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41" t="s">
        <v>473</v>
      </c>
      <c r="G972" s="42"/>
      <c r="H972" s="42"/>
      <c r="I972" s="42"/>
      <c r="J972" s="42"/>
      <c r="K972" s="42"/>
      <c r="L972" s="58"/>
      <c r="M972" s="1671"/>
      <c r="N972" s="1672"/>
      <c r="O972" s="1672"/>
      <c r="P972" s="1672"/>
      <c r="Q972" s="1672"/>
      <c r="R972" s="1672"/>
      <c r="S972" s="1673"/>
      <c r="T972" s="1749"/>
      <c r="U972" s="1750"/>
      <c r="V972" s="1750"/>
      <c r="W972" s="1750"/>
      <c r="X972" s="1750"/>
      <c r="Y972" s="1750"/>
      <c r="Z972" s="1751"/>
      <c r="AA972" s="1671"/>
      <c r="AB972" s="1672"/>
      <c r="AC972" s="1672"/>
      <c r="AD972" s="1672"/>
      <c r="AE972" s="1672"/>
      <c r="AF972" s="1672"/>
      <c r="AG972" s="167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41" t="s">
        <v>337</v>
      </c>
      <c r="G973" s="42"/>
      <c r="H973" s="42"/>
      <c r="I973" s="42"/>
      <c r="J973" s="42"/>
      <c r="K973" s="42"/>
      <c r="L973" s="42"/>
      <c r="M973" s="42"/>
      <c r="N973" s="42"/>
      <c r="O973" s="1674" t="s">
        <v>677</v>
      </c>
      <c r="P973" s="1451"/>
      <c r="Q973" s="92"/>
      <c r="R973" s="92"/>
      <c r="S973" s="93"/>
      <c r="T973" s="41" t="s">
        <v>170</v>
      </c>
      <c r="U973" s="42"/>
      <c r="V973" s="42"/>
      <c r="W973" s="1688" t="s">
        <v>335</v>
      </c>
      <c r="X973" s="1689"/>
      <c r="Y973" s="1689"/>
      <c r="Z973" s="1689"/>
      <c r="AA973" s="1689"/>
      <c r="AB973" s="1689"/>
      <c r="AC973" s="1689"/>
      <c r="AD973" s="1689"/>
      <c r="AE973" s="1689"/>
      <c r="AF973" s="1689"/>
      <c r="AG973" s="169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 customHeight="1">
      <c r="F974" s="1581" t="s">
        <v>33</v>
      </c>
      <c r="G974" s="1375"/>
      <c r="H974" s="1375"/>
      <c r="I974" s="1375"/>
      <c r="J974" s="1375"/>
      <c r="K974" s="1375"/>
      <c r="L974" s="1375"/>
      <c r="M974" s="1671"/>
      <c r="N974" s="1672"/>
      <c r="O974" s="1672"/>
      <c r="P974" s="1672"/>
      <c r="Q974" s="1672"/>
      <c r="R974" s="1672"/>
      <c r="S974" s="1673"/>
      <c r="T974" s="47"/>
      <c r="U974" s="48"/>
      <c r="V974" s="48"/>
      <c r="W974" s="48"/>
      <c r="X974" s="48"/>
      <c r="Y974" s="48"/>
      <c r="Z974" s="124" t="s">
        <v>134</v>
      </c>
      <c r="AA974" s="1822"/>
      <c r="AB974" s="1823"/>
      <c r="AC974" s="1823"/>
      <c r="AD974" s="1823"/>
      <c r="AE974" s="1823"/>
      <c r="AF974" s="1823"/>
      <c r="AG974" s="1824"/>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68"/>
      <c r="AV975" s="68"/>
      <c r="AW975" s="68"/>
      <c r="AX975" s="68"/>
      <c r="AY975" s="68"/>
      <c r="AZ975" s="14"/>
      <c r="BA975" s="14"/>
      <c r="BB975" s="14"/>
      <c r="BC975" s="14"/>
      <c r="BD975" s="14"/>
      <c r="BE975" s="14"/>
      <c r="BF975" s="14"/>
      <c r="BG975" s="1616"/>
      <c r="BH975" s="1616"/>
      <c r="BI975" s="1616"/>
      <c r="BJ975" s="1616"/>
      <c r="BK975" s="1616"/>
      <c r="BL975" s="161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661" t="s">
        <v>556</v>
      </c>
      <c r="B978" s="1661"/>
      <c r="C978" s="1661"/>
      <c r="D978" s="1661"/>
      <c r="E978" s="1661"/>
      <c r="F978" s="1661"/>
      <c r="G978" s="1661"/>
      <c r="H978" s="1661"/>
      <c r="I978" s="1661"/>
      <c r="J978" s="1661"/>
      <c r="K978" s="1661"/>
      <c r="L978" s="1661"/>
      <c r="M978" s="1661"/>
      <c r="N978" s="1661"/>
      <c r="O978" s="1661"/>
      <c r="P978" s="1661"/>
      <c r="Q978" s="1661"/>
      <c r="R978" s="1661"/>
      <c r="S978" s="1661"/>
      <c r="T978" s="1661"/>
      <c r="U978" s="1661"/>
      <c r="V978" s="1661"/>
      <c r="W978" s="1661"/>
      <c r="X978" s="1661"/>
      <c r="Y978" s="1661"/>
      <c r="Z978" s="1661"/>
      <c r="AA978" s="1661"/>
      <c r="AB978" s="1661"/>
      <c r="AC978" s="1661"/>
      <c r="AD978" s="1661"/>
      <c r="AE978" s="1661"/>
      <c r="AF978" s="1661"/>
      <c r="AG978" s="1661"/>
      <c r="AH978" s="1661"/>
      <c r="AI978" s="1661"/>
      <c r="AJ978" s="1661"/>
      <c r="AK978" s="1661"/>
      <c r="AL978" s="1661"/>
      <c r="AM978" s="1661"/>
      <c r="AN978" s="1661"/>
      <c r="AO978" s="1661"/>
      <c r="AP978" s="1661"/>
      <c r="AQ978" s="1661"/>
      <c r="AR978" s="1661"/>
      <c r="AS978" s="1661"/>
      <c r="AT978" s="166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661"/>
      <c r="B979" s="1661"/>
      <c r="C979" s="1661"/>
      <c r="D979" s="1661"/>
      <c r="E979" s="1661"/>
      <c r="F979" s="1661"/>
      <c r="G979" s="1661"/>
      <c r="H979" s="1661"/>
      <c r="I979" s="1661"/>
      <c r="J979" s="1661"/>
      <c r="K979" s="1661"/>
      <c r="L979" s="1661"/>
      <c r="M979" s="1661"/>
      <c r="N979" s="1661"/>
      <c r="O979" s="1661"/>
      <c r="P979" s="1661"/>
      <c r="Q979" s="1661"/>
      <c r="R979" s="1661"/>
      <c r="S979" s="1661"/>
      <c r="T979" s="1661"/>
      <c r="U979" s="1661"/>
      <c r="V979" s="1661"/>
      <c r="W979" s="1661"/>
      <c r="X979" s="1661"/>
      <c r="Y979" s="1661"/>
      <c r="Z979" s="1661"/>
      <c r="AA979" s="1661"/>
      <c r="AB979" s="1661"/>
      <c r="AC979" s="1661"/>
      <c r="AD979" s="1661"/>
      <c r="AE979" s="1661"/>
      <c r="AF979" s="1661"/>
      <c r="AG979" s="1661"/>
      <c r="AH979" s="1661"/>
      <c r="AI979" s="1661"/>
      <c r="AJ979" s="1661"/>
      <c r="AK979" s="1661"/>
      <c r="AL979" s="1661"/>
      <c r="AM979" s="1661"/>
      <c r="AN979" s="1661"/>
      <c r="AO979" s="1661"/>
      <c r="AP979" s="1661"/>
      <c r="AQ979" s="1661"/>
      <c r="AR979" s="1661"/>
      <c r="AS979" s="1661"/>
      <c r="AT979" s="166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661"/>
      <c r="B980" s="1661"/>
      <c r="C980" s="1661"/>
      <c r="D980" s="1661"/>
      <c r="E980" s="1661"/>
      <c r="F980" s="1661"/>
      <c r="G980" s="1661"/>
      <c r="H980" s="1661"/>
      <c r="I980" s="1661"/>
      <c r="J980" s="1661"/>
      <c r="K980" s="1661"/>
      <c r="L980" s="1661"/>
      <c r="M980" s="1661"/>
      <c r="N980" s="1661"/>
      <c r="O980" s="1661"/>
      <c r="P980" s="1661"/>
      <c r="Q980" s="1661"/>
      <c r="R980" s="1661"/>
      <c r="S980" s="1661"/>
      <c r="T980" s="1661"/>
      <c r="U980" s="1661"/>
      <c r="V980" s="1661"/>
      <c r="W980" s="1661"/>
      <c r="X980" s="1661"/>
      <c r="Y980" s="1661"/>
      <c r="Z980" s="1661"/>
      <c r="AA980" s="1661"/>
      <c r="AB980" s="1661"/>
      <c r="AC980" s="1661"/>
      <c r="AD980" s="1661"/>
      <c r="AE980" s="1661"/>
      <c r="AF980" s="1661"/>
      <c r="AG980" s="1661"/>
      <c r="AH980" s="1661"/>
      <c r="AI980" s="1661"/>
      <c r="AJ980" s="1661"/>
      <c r="AK980" s="1661"/>
      <c r="AL980" s="1661"/>
      <c r="AM980" s="1661"/>
      <c r="AN980" s="1661"/>
      <c r="AO980" s="1661"/>
      <c r="AP980" s="1661"/>
      <c r="AQ980" s="1661"/>
      <c r="AR980" s="1661"/>
      <c r="AS980" s="1661"/>
      <c r="AT980" s="166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67"/>
      <c r="B984" s="79"/>
      <c r="C984" s="963"/>
      <c r="D984" s="1651" t="s">
        <v>646</v>
      </c>
      <c r="E984" s="1652"/>
      <c r="F984" s="1652"/>
      <c r="G984" s="1652"/>
      <c r="H984" s="1652"/>
      <c r="I984" s="1652"/>
      <c r="J984" s="1652"/>
      <c r="K984" s="1652"/>
      <c r="L984" s="1652"/>
      <c r="M984" s="1652"/>
      <c r="N984" s="1652"/>
      <c r="O984" s="1652"/>
      <c r="P984" s="1652"/>
      <c r="Q984" s="1653"/>
      <c r="R984" s="1651" t="s">
        <v>647</v>
      </c>
      <c r="S984" s="1652"/>
      <c r="T984" s="1652"/>
      <c r="U984" s="1652"/>
      <c r="V984" s="1652"/>
      <c r="W984" s="1652"/>
      <c r="X984" s="1652"/>
      <c r="Y984" s="1652"/>
      <c r="Z984" s="1652"/>
      <c r="AA984" s="1653"/>
      <c r="AB984" s="1651" t="s">
        <v>648</v>
      </c>
      <c r="AC984" s="1652"/>
      <c r="AD984" s="1652"/>
      <c r="AE984" s="1652"/>
      <c r="AF984" s="1652"/>
      <c r="AG984" s="1652"/>
      <c r="AH984" s="1652"/>
      <c r="AI984" s="1653"/>
      <c r="AJ984" s="1651" t="s">
        <v>649</v>
      </c>
      <c r="AK984" s="1652"/>
      <c r="AL984" s="1652"/>
      <c r="AM984" s="1652"/>
      <c r="AN984" s="1652"/>
      <c r="AO984" s="1652"/>
      <c r="AP984" s="1652"/>
      <c r="AQ984" s="165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 customHeight="1">
      <c r="A985" s="14"/>
      <c r="B985" s="73"/>
      <c r="C985" s="964"/>
      <c r="D985" s="1507" t="s">
        <v>641</v>
      </c>
      <c r="E985" s="1508"/>
      <c r="F985" s="1508"/>
      <c r="G985" s="1508"/>
      <c r="H985" s="1508"/>
      <c r="I985" s="1508"/>
      <c r="J985" s="1508"/>
      <c r="K985" s="1508"/>
      <c r="L985" s="1508"/>
      <c r="M985" s="1508"/>
      <c r="N985" s="1508"/>
      <c r="O985" s="1508"/>
      <c r="P985" s="1508"/>
      <c r="Q985" s="1509"/>
      <c r="R985" s="1636">
        <f>IF(ISNA(IF($BN$796="4%",(INDEX($BP$806:$BT$863,MATCH($CB$796,$BO$806:$BO$863,0),MATCH(D985,$BP$805:$BT$805,0))),(INDEX($BW$806:$CA$863,MATCH($CB$796,$BV$806:$BV$863,0),MATCH(D985,$BW$805:$CA$805,0))))),0,IF($BN$796="4%",(INDEX($BP$806:$BT$863,MATCH($CB$796,$BO$806:$BO$863,0),MATCH(D985,$BP$805:$BT$805,0))),(INDEX($BW$806:$CA$863,MATCH($CB$796,$BV$806:$BV$863,0),MATCH(D985,$BW$805:$CA$805,0)))))</f>
        <v>387110</v>
      </c>
      <c r="S985" s="1636"/>
      <c r="T985" s="1636"/>
      <c r="U985" s="1636"/>
      <c r="V985" s="1636"/>
      <c r="W985" s="1636"/>
      <c r="X985" s="1636"/>
      <c r="Y985" s="1636"/>
      <c r="Z985" s="1636"/>
      <c r="AA985" s="1636"/>
      <c r="AB985" s="1654">
        <f>BN660</f>
        <v>0</v>
      </c>
      <c r="AC985" s="1655"/>
      <c r="AD985" s="1655"/>
      <c r="AE985" s="1655"/>
      <c r="AF985" s="1655"/>
      <c r="AG985" s="1655"/>
      <c r="AH985" s="1655"/>
      <c r="AI985" s="1656"/>
      <c r="AJ985" s="1677">
        <f>IF(ISERROR((R985*AB985)),0,(R985*AB985))</f>
        <v>0</v>
      </c>
      <c r="AK985" s="1678"/>
      <c r="AL985" s="1678"/>
      <c r="AM985" s="1678"/>
      <c r="AN985" s="1678"/>
      <c r="AO985" s="1678"/>
      <c r="AP985" s="1678"/>
      <c r="AQ985" s="167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73"/>
      <c r="C986" s="83"/>
      <c r="D986" s="1507" t="s">
        <v>326</v>
      </c>
      <c r="E986" s="1508"/>
      <c r="F986" s="1508"/>
      <c r="G986" s="1508"/>
      <c r="H986" s="1508"/>
      <c r="I986" s="1508"/>
      <c r="J986" s="1508"/>
      <c r="K986" s="1508"/>
      <c r="L986" s="1508"/>
      <c r="M986" s="1508"/>
      <c r="N986" s="1508"/>
      <c r="O986" s="1508"/>
      <c r="P986" s="1508"/>
      <c r="Q986" s="1509"/>
      <c r="R986" s="1636">
        <f>IF(ISNA(IF($BN$796="4%",(INDEX($BP$806:$BT$863,MATCH($CB$796,$BO$806:$BO$863,0),MATCH(D986,$BP$805:$BT$805,0))),(INDEX($BW$806:$CA$863,MATCH($CB$796,$BV$806:$BV$863,0),MATCH(D986,$BW$805:$CA$805,0))))),0,IF($BN$796="4%",(INDEX($BP$806:$BT$863,MATCH($CB$796,$BO$806:$BO$863,0),MATCH(D986,$BP$805:$BT$805,0))),(INDEX($BW$806:$CA$863,MATCH($CB$796,$BV$806:$BV$863,0),MATCH(D986,$BW$805:$CA$805,0)))))</f>
        <v>446334</v>
      </c>
      <c r="S986" s="1636"/>
      <c r="T986" s="1636"/>
      <c r="U986" s="1636"/>
      <c r="V986" s="1636"/>
      <c r="W986" s="1636"/>
      <c r="X986" s="1636"/>
      <c r="Y986" s="1636"/>
      <c r="Z986" s="1636"/>
      <c r="AA986" s="1636"/>
      <c r="AB986" s="1654">
        <f>BS660</f>
        <v>60</v>
      </c>
      <c r="AC986" s="1655"/>
      <c r="AD986" s="1655"/>
      <c r="AE986" s="1655"/>
      <c r="AF986" s="1655"/>
      <c r="AG986" s="1655"/>
      <c r="AH986" s="1655"/>
      <c r="AI986" s="1656"/>
      <c r="AJ986" s="1677">
        <f>IF(ISERROR((R986*AB986)),0,(R986*AB986))</f>
        <v>26780040</v>
      </c>
      <c r="AK986" s="1678"/>
      <c r="AL986" s="1678"/>
      <c r="AM986" s="1678"/>
      <c r="AN986" s="1678"/>
      <c r="AO986" s="1678"/>
      <c r="AP986" s="1678"/>
      <c r="AQ986" s="167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73"/>
      <c r="C987" s="83"/>
      <c r="D987" s="1507" t="s">
        <v>163</v>
      </c>
      <c r="E987" s="1508"/>
      <c r="F987" s="1508"/>
      <c r="G987" s="1508"/>
      <c r="H987" s="1508"/>
      <c r="I987" s="1508"/>
      <c r="J987" s="1508"/>
      <c r="K987" s="1508"/>
      <c r="L987" s="1508"/>
      <c r="M987" s="1508"/>
      <c r="N987" s="1508"/>
      <c r="O987" s="1508"/>
      <c r="P987" s="1508"/>
      <c r="Q987" s="1509"/>
      <c r="R987" s="1636">
        <f>IF(ISNA(IF($BN$796="4%",(INDEX($BP$806:$BT$863,MATCH($CB$796,$BO$806:$BO$863,0),MATCH(D987,$BP$805:$BT$805,0))),(INDEX($BW$806:$CA$863,MATCH($CB$796,$BV$806:$BV$863,0),MATCH(D987,$BW$805:$CA$805,0))))),0,IF($BN$796="4%",(INDEX($BP$806:$BT$863,MATCH($CB$796,$BO$806:$BO$863,0),MATCH(D987,$BP$805:$BT$805,0))),(INDEX($BW$806:$CA$863,MATCH($CB$796,$BV$806:$BV$863,0),MATCH(D987,$BW$805:$CA$805,0)))))</f>
        <v>538400</v>
      </c>
      <c r="S987" s="1636"/>
      <c r="T987" s="1636"/>
      <c r="U987" s="1636"/>
      <c r="V987" s="1636"/>
      <c r="W987" s="1636"/>
      <c r="X987" s="1636"/>
      <c r="Y987" s="1636"/>
      <c r="Z987" s="1636"/>
      <c r="AA987" s="1636"/>
      <c r="AB987" s="1654">
        <f>BX660</f>
        <v>32</v>
      </c>
      <c r="AC987" s="1655"/>
      <c r="AD987" s="1655"/>
      <c r="AE987" s="1655"/>
      <c r="AF987" s="1655"/>
      <c r="AG987" s="1655"/>
      <c r="AH987" s="1655"/>
      <c r="AI987" s="1656"/>
      <c r="AJ987" s="1677">
        <f>IF(ISERROR((R987*AB987)),0,(R987*AB987))</f>
        <v>17228800</v>
      </c>
      <c r="AK987" s="1678"/>
      <c r="AL987" s="1678"/>
      <c r="AM987" s="1678"/>
      <c r="AN987" s="1678"/>
      <c r="AO987" s="1678"/>
      <c r="AP987" s="1678"/>
      <c r="AQ987" s="167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73"/>
      <c r="C988" s="83"/>
      <c r="D988" s="1507" t="s">
        <v>164</v>
      </c>
      <c r="E988" s="1508"/>
      <c r="F988" s="1508"/>
      <c r="G988" s="1508"/>
      <c r="H988" s="1508"/>
      <c r="I988" s="1508"/>
      <c r="J988" s="1508"/>
      <c r="K988" s="1508"/>
      <c r="L988" s="1508"/>
      <c r="M988" s="1508"/>
      <c r="N988" s="1508"/>
      <c r="O988" s="1508"/>
      <c r="P988" s="1508"/>
      <c r="Q988" s="1509"/>
      <c r="R988" s="1636">
        <f>IF(ISNA(IF($BN$796="4%",(INDEX($BP$806:$BT$863,MATCH($CB$796,$BO$806:$BO$863,0),MATCH(D988,$BP$805:$BT$805,0))),(INDEX($BW$806:$CA$863,MATCH($CB$796,$BV$806:$BV$863,0),MATCH(D988,$BW$805:$CA$805,0))))),0,IF($BN$796="4%",(INDEX($BP$806:$BT$863,MATCH($CB$796,$BO$806:$BO$863,0),MATCH(D988,$BP$805:$BT$805,0))),(INDEX($BW$806:$CA$863,MATCH($CB$796,$BV$806:$BV$863,0),MATCH(D988,$BW$805:$CA$805,0)))))</f>
        <v>689152</v>
      </c>
      <c r="S988" s="1636"/>
      <c r="T988" s="1636"/>
      <c r="U988" s="1636"/>
      <c r="V988" s="1636"/>
      <c r="W988" s="1636"/>
      <c r="X988" s="1636"/>
      <c r="Y988" s="1636"/>
      <c r="Z988" s="1636"/>
      <c r="AA988" s="1636"/>
      <c r="AB988" s="1654">
        <f>CC660</f>
        <v>56</v>
      </c>
      <c r="AC988" s="1655"/>
      <c r="AD988" s="1655"/>
      <c r="AE988" s="1655"/>
      <c r="AF988" s="1655"/>
      <c r="AG988" s="1655"/>
      <c r="AH988" s="1655"/>
      <c r="AI988" s="1656"/>
      <c r="AJ988" s="1677">
        <f>IF(ISERROR((R988*AB988)),0,(R988*AB988))</f>
        <v>38592512</v>
      </c>
      <c r="AK988" s="1678"/>
      <c r="AL988" s="1678"/>
      <c r="AM988" s="1678"/>
      <c r="AN988" s="1678"/>
      <c r="AO988" s="1678"/>
      <c r="AP988" s="1678"/>
      <c r="AQ988" s="167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7"/>
      <c r="C989" s="78"/>
      <c r="D989" s="1507" t="s">
        <v>468</v>
      </c>
      <c r="E989" s="1508"/>
      <c r="F989" s="1508"/>
      <c r="G989" s="1508"/>
      <c r="H989" s="1508"/>
      <c r="I989" s="1508"/>
      <c r="J989" s="1508"/>
      <c r="K989" s="1508"/>
      <c r="L989" s="1508"/>
      <c r="M989" s="1508"/>
      <c r="N989" s="1508"/>
      <c r="O989" s="1508"/>
      <c r="P989" s="1508"/>
      <c r="Q989" s="1509"/>
      <c r="R989" s="1636">
        <f>IF(ISNA(IF($BN$796="4%",(INDEX($BP$806:$BT$863,MATCH($CB$796,$BO$806:$BO$863,0),MATCH(D989,$BP$805:$BT$805,0))),(INDEX($BW$806:$CA$863,MATCH($CB$796,$BV$806:$BV$863,0),MATCH(D989,$BW$805:$CA$805,0))))),0,IF($BN$796="4%",(INDEX($BP$806:$BT$863,MATCH($CB$796,$BO$806:$BO$863,0),MATCH(D989,$BP$805:$BT$805,0))),(INDEX($BW$806:$CA$863,MATCH($CB$796,$BV$806:$BV$863,0),MATCH(D989,$BW$805:$CA$805,0)))))</f>
        <v>767758</v>
      </c>
      <c r="S989" s="1636"/>
      <c r="T989" s="1636"/>
      <c r="U989" s="1636"/>
      <c r="V989" s="1636"/>
      <c r="W989" s="1636"/>
      <c r="X989" s="1636"/>
      <c r="Y989" s="1636"/>
      <c r="Z989" s="1636"/>
      <c r="AA989" s="1636"/>
      <c r="AB989" s="1654">
        <f>CM660+CH660</f>
        <v>18</v>
      </c>
      <c r="AC989" s="1655"/>
      <c r="AD989" s="1655"/>
      <c r="AE989" s="1655"/>
      <c r="AF989" s="1655"/>
      <c r="AG989" s="1655"/>
      <c r="AH989" s="1655"/>
      <c r="AI989" s="1656"/>
      <c r="AJ989" s="1677">
        <f>IF(ISERROR((R989*AB989)),0,(R989*AB989))</f>
        <v>13819644</v>
      </c>
      <c r="AK989" s="1678"/>
      <c r="AL989" s="1678"/>
      <c r="AM989" s="1678"/>
      <c r="AN989" s="1678"/>
      <c r="AO989" s="1678"/>
      <c r="AP989" s="1678"/>
      <c r="AQ989" s="167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640" t="s">
        <v>800</v>
      </c>
      <c r="C990" s="1641"/>
      <c r="D990" s="1641"/>
      <c r="E990" s="1641"/>
      <c r="F990" s="1641"/>
      <c r="G990" s="1641"/>
      <c r="H990" s="1641"/>
      <c r="I990" s="1641"/>
      <c r="J990" s="1641"/>
      <c r="K990" s="1641"/>
      <c r="L990" s="1641"/>
      <c r="M990" s="1641"/>
      <c r="N990" s="1641"/>
      <c r="O990" s="1641"/>
      <c r="P990" s="1641"/>
      <c r="Q990" s="1641"/>
      <c r="R990" s="1641"/>
      <c r="S990" s="1641"/>
      <c r="T990" s="1641"/>
      <c r="U990" s="1641"/>
      <c r="V990" s="1641"/>
      <c r="W990" s="1641"/>
      <c r="X990" s="1641"/>
      <c r="Y990" s="1641"/>
      <c r="Z990" s="1641"/>
      <c r="AA990" s="1642"/>
      <c r="AB990" s="1654">
        <f>SUM(AB985:AI989)</f>
        <v>166</v>
      </c>
      <c r="AC990" s="1655"/>
      <c r="AD990" s="1655"/>
      <c r="AE990" s="1655"/>
      <c r="AF990" s="1655"/>
      <c r="AG990" s="1655"/>
      <c r="AH990" s="1655"/>
      <c r="AI990" s="1656"/>
      <c r="AJ990" s="1677"/>
      <c r="AK990" s="1678"/>
      <c r="AL990" s="1678"/>
      <c r="AM990" s="1678"/>
      <c r="AN990" s="1678"/>
      <c r="AO990" s="1678"/>
      <c r="AP990" s="1678"/>
      <c r="AQ990" s="167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648" t="s">
        <v>520</v>
      </c>
      <c r="C991" s="1649"/>
      <c r="D991" s="1649"/>
      <c r="E991" s="1649"/>
      <c r="F991" s="1649"/>
      <c r="G991" s="1649"/>
      <c r="H991" s="1649"/>
      <c r="I991" s="1649"/>
      <c r="J991" s="1649"/>
      <c r="K991" s="1649"/>
      <c r="L991" s="1649"/>
      <c r="M991" s="1649"/>
      <c r="N991" s="1649"/>
      <c r="O991" s="1649"/>
      <c r="P991" s="1649"/>
      <c r="Q991" s="1649"/>
      <c r="R991" s="1649"/>
      <c r="S991" s="1649"/>
      <c r="T991" s="1649"/>
      <c r="U991" s="1649"/>
      <c r="V991" s="1649"/>
      <c r="W991" s="1649"/>
      <c r="X991" s="1649"/>
      <c r="Y991" s="1649"/>
      <c r="Z991" s="1649"/>
      <c r="AA991" s="1649"/>
      <c r="AB991" s="1649"/>
      <c r="AC991" s="1649"/>
      <c r="AD991" s="1649"/>
      <c r="AE991" s="1649"/>
      <c r="AF991" s="1649"/>
      <c r="AG991" s="1649"/>
      <c r="AH991" s="1649"/>
      <c r="AI991" s="1650"/>
      <c r="AJ991" s="1677">
        <f>SUM(AJ985:AQ989)</f>
        <v>96420996</v>
      </c>
      <c r="AK991" s="1678"/>
      <c r="AL991" s="1678"/>
      <c r="AM991" s="1678"/>
      <c r="AN991" s="1678"/>
      <c r="AO991" s="1678"/>
      <c r="AP991" s="1678"/>
      <c r="AQ991" s="167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819"/>
      <c r="C992" s="1820"/>
      <c r="D992" s="1820"/>
      <c r="E992" s="1820"/>
      <c r="F992" s="1820"/>
      <c r="G992" s="1820"/>
      <c r="H992" s="1820"/>
      <c r="I992" s="1820"/>
      <c r="J992" s="1820"/>
      <c r="K992" s="1820"/>
      <c r="L992" s="1820"/>
      <c r="M992" s="1820"/>
      <c r="N992" s="1820"/>
      <c r="O992" s="1820"/>
      <c r="P992" s="1820"/>
      <c r="Q992" s="1820"/>
      <c r="R992" s="1820"/>
      <c r="S992" s="1820"/>
      <c r="T992" s="1820"/>
      <c r="U992" s="1820"/>
      <c r="V992" s="1820"/>
      <c r="W992" s="1820"/>
      <c r="X992" s="1820"/>
      <c r="Y992" s="1820"/>
      <c r="Z992" s="1820"/>
      <c r="AA992" s="1820"/>
      <c r="AB992" s="1820"/>
      <c r="AC992" s="1820"/>
      <c r="AD992" s="1820"/>
      <c r="AE992" s="1821"/>
      <c r="AF992" s="1835" t="s">
        <v>674</v>
      </c>
      <c r="AG992" s="1836"/>
      <c r="AH992" s="1836"/>
      <c r="AI992" s="1837"/>
      <c r="AJ992" s="1819"/>
      <c r="AK992" s="1820"/>
      <c r="AL992" s="1820"/>
      <c r="AM992" s="1820"/>
      <c r="AN992" s="1820"/>
      <c r="AO992" s="1820"/>
      <c r="AP992" s="1820"/>
      <c r="AQ992" s="1821"/>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73"/>
      <c r="C993" s="962" t="s">
        <v>676</v>
      </c>
      <c r="D993" s="1637" t="s">
        <v>1326</v>
      </c>
      <c r="E993" s="1638"/>
      <c r="F993" s="1638"/>
      <c r="G993" s="1638"/>
      <c r="H993" s="1638"/>
      <c r="I993" s="1638"/>
      <c r="J993" s="1638"/>
      <c r="K993" s="1638"/>
      <c r="L993" s="1638"/>
      <c r="M993" s="1638"/>
      <c r="N993" s="1638"/>
      <c r="O993" s="1638"/>
      <c r="P993" s="1638"/>
      <c r="Q993" s="1638"/>
      <c r="R993" s="1638"/>
      <c r="S993" s="1638"/>
      <c r="T993" s="1638"/>
      <c r="U993" s="1638"/>
      <c r="V993" s="1638"/>
      <c r="W993" s="1638"/>
      <c r="X993" s="1638"/>
      <c r="Y993" s="1638"/>
      <c r="Z993" s="1638"/>
      <c r="AA993" s="1638"/>
      <c r="AB993" s="1638"/>
      <c r="AC993" s="1638"/>
      <c r="AD993" s="1638"/>
      <c r="AE993" s="1639"/>
      <c r="AF993" s="79"/>
      <c r="AG993" s="1838" t="s">
        <v>677</v>
      </c>
      <c r="AH993" s="1839"/>
      <c r="AI993" s="87"/>
      <c r="AJ993" s="1792">
        <f>ROUND(IF(AND(AG993="yes",D999&gt;0),AJ991*0.2,0),0)</f>
        <v>0</v>
      </c>
      <c r="AK993" s="1793"/>
      <c r="AL993" s="1793"/>
      <c r="AM993" s="1793"/>
      <c r="AN993" s="1793"/>
      <c r="AO993" s="1793"/>
      <c r="AP993" s="1793"/>
      <c r="AQ993" s="1794"/>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277"/>
      <c r="C994" s="276"/>
      <c r="D994" s="1810" t="s">
        <v>2567</v>
      </c>
      <c r="E994" s="1811"/>
      <c r="F994" s="1811"/>
      <c r="G994" s="1811"/>
      <c r="H994" s="1811"/>
      <c r="I994" s="1811"/>
      <c r="J994" s="1811"/>
      <c r="K994" s="1811"/>
      <c r="L994" s="1811"/>
      <c r="M994" s="1811"/>
      <c r="N994" s="1811"/>
      <c r="O994" s="1811"/>
      <c r="P994" s="1811"/>
      <c r="Q994" s="1811"/>
      <c r="R994" s="1811"/>
      <c r="S994" s="1811"/>
      <c r="T994" s="1811"/>
      <c r="U994" s="1811"/>
      <c r="V994" s="1811"/>
      <c r="W994" s="1811"/>
      <c r="X994" s="1811"/>
      <c r="Y994" s="1811"/>
      <c r="Z994" s="1811"/>
      <c r="AA994" s="1811"/>
      <c r="AB994" s="1811"/>
      <c r="AC994" s="1811"/>
      <c r="AD994" s="1811"/>
      <c r="AE994" s="1812"/>
      <c r="AF994" s="73"/>
      <c r="AG994" s="14"/>
      <c r="AH994" s="14"/>
      <c r="AI994" s="83"/>
      <c r="AJ994" s="1795"/>
      <c r="AK994" s="1796"/>
      <c r="AL994" s="1796"/>
      <c r="AM994" s="1796"/>
      <c r="AN994" s="1796"/>
      <c r="AO994" s="1796"/>
      <c r="AP994" s="1796"/>
      <c r="AQ994" s="1797"/>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277"/>
      <c r="C995" s="276"/>
      <c r="D995" s="1810"/>
      <c r="E995" s="1811"/>
      <c r="F995" s="1811"/>
      <c r="G995" s="1811"/>
      <c r="H995" s="1811"/>
      <c r="I995" s="1811"/>
      <c r="J995" s="1811"/>
      <c r="K995" s="1811"/>
      <c r="L995" s="1811"/>
      <c r="M995" s="1811"/>
      <c r="N995" s="1811"/>
      <c r="O995" s="1811"/>
      <c r="P995" s="1811"/>
      <c r="Q995" s="1811"/>
      <c r="R995" s="1811"/>
      <c r="S995" s="1811"/>
      <c r="T995" s="1811"/>
      <c r="U995" s="1811"/>
      <c r="V995" s="1811"/>
      <c r="W995" s="1811"/>
      <c r="X995" s="1811"/>
      <c r="Y995" s="1811"/>
      <c r="Z995" s="1811"/>
      <c r="AA995" s="1811"/>
      <c r="AB995" s="1811"/>
      <c r="AC995" s="1811"/>
      <c r="AD995" s="1811"/>
      <c r="AE995" s="1812"/>
      <c r="AF995" s="73"/>
      <c r="AG995" s="14"/>
      <c r="AH995" s="14"/>
      <c r="AI995" s="83"/>
      <c r="AJ995" s="1795"/>
      <c r="AK995" s="1796"/>
      <c r="AL995" s="1796"/>
      <c r="AM995" s="1796"/>
      <c r="AN995" s="1796"/>
      <c r="AO995" s="1796"/>
      <c r="AP995" s="1796"/>
      <c r="AQ995" s="1797"/>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277"/>
      <c r="C996" s="276"/>
      <c r="D996" s="1810"/>
      <c r="E996" s="1811"/>
      <c r="F996" s="1811"/>
      <c r="G996" s="1811"/>
      <c r="H996" s="1811"/>
      <c r="I996" s="1811"/>
      <c r="J996" s="1811"/>
      <c r="K996" s="1811"/>
      <c r="L996" s="1811"/>
      <c r="M996" s="1811"/>
      <c r="N996" s="1811"/>
      <c r="O996" s="1811"/>
      <c r="P996" s="1811"/>
      <c r="Q996" s="1811"/>
      <c r="R996" s="1811"/>
      <c r="S996" s="1811"/>
      <c r="T996" s="1811"/>
      <c r="U996" s="1811"/>
      <c r="V996" s="1811"/>
      <c r="W996" s="1811"/>
      <c r="X996" s="1811"/>
      <c r="Y996" s="1811"/>
      <c r="Z996" s="1811"/>
      <c r="AA996" s="1811"/>
      <c r="AB996" s="1811"/>
      <c r="AC996" s="1811"/>
      <c r="AD996" s="1811"/>
      <c r="AE996" s="1812"/>
      <c r="AF996" s="73"/>
      <c r="AG996" s="14"/>
      <c r="AH996" s="14"/>
      <c r="AI996" s="83"/>
      <c r="AJ996" s="1795"/>
      <c r="AK996" s="1796"/>
      <c r="AL996" s="1796"/>
      <c r="AM996" s="1796"/>
      <c r="AN996" s="1796"/>
      <c r="AO996" s="1796"/>
      <c r="AP996" s="1796"/>
      <c r="AQ996" s="1797"/>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277"/>
      <c r="C997" s="276"/>
      <c r="D997" s="1810"/>
      <c r="E997" s="1811"/>
      <c r="F997" s="1811"/>
      <c r="G997" s="1811"/>
      <c r="H997" s="1811"/>
      <c r="I997" s="1811"/>
      <c r="J997" s="1811"/>
      <c r="K997" s="1811"/>
      <c r="L997" s="1811"/>
      <c r="M997" s="1811"/>
      <c r="N997" s="1811"/>
      <c r="O997" s="1811"/>
      <c r="P997" s="1811"/>
      <c r="Q997" s="1811"/>
      <c r="R997" s="1811"/>
      <c r="S997" s="1811"/>
      <c r="T997" s="1811"/>
      <c r="U997" s="1811"/>
      <c r="V997" s="1811"/>
      <c r="W997" s="1811"/>
      <c r="X997" s="1811"/>
      <c r="Y997" s="1811"/>
      <c r="Z997" s="1811"/>
      <c r="AA997" s="1811"/>
      <c r="AB997" s="1811"/>
      <c r="AC997" s="1811"/>
      <c r="AD997" s="1811"/>
      <c r="AE997" s="1812"/>
      <c r="AF997" s="73"/>
      <c r="AG997" s="14"/>
      <c r="AH997" s="14"/>
      <c r="AI997" s="83"/>
      <c r="AJ997" s="1795"/>
      <c r="AK997" s="1796"/>
      <c r="AL997" s="1796"/>
      <c r="AM997" s="1796"/>
      <c r="AN997" s="1796"/>
      <c r="AO997" s="1796"/>
      <c r="AP997" s="1796"/>
      <c r="AQ997" s="1797"/>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277"/>
      <c r="C998" s="276"/>
      <c r="D998" s="1813" t="s">
        <v>2568</v>
      </c>
      <c r="E998" s="1814"/>
      <c r="F998" s="1814"/>
      <c r="G998" s="1814"/>
      <c r="H998" s="1814"/>
      <c r="I998" s="1814"/>
      <c r="J998" s="1814"/>
      <c r="K998" s="1814"/>
      <c r="L998" s="1814"/>
      <c r="M998" s="1814"/>
      <c r="N998" s="1814"/>
      <c r="O998" s="1814"/>
      <c r="P998" s="1814"/>
      <c r="Q998" s="1814"/>
      <c r="R998" s="1814"/>
      <c r="S998" s="1814"/>
      <c r="T998" s="1814"/>
      <c r="U998" s="1814"/>
      <c r="V998" s="1814"/>
      <c r="W998" s="1814"/>
      <c r="X998" s="1814"/>
      <c r="Y998" s="1814"/>
      <c r="Z998" s="1814"/>
      <c r="AA998" s="1814"/>
      <c r="AB998" s="1814"/>
      <c r="AC998" s="1814"/>
      <c r="AD998" s="1814"/>
      <c r="AE998" s="1815"/>
      <c r="AF998" s="73"/>
      <c r="AG998" s="14"/>
      <c r="AH998" s="14"/>
      <c r="AI998" s="83"/>
      <c r="AJ998" s="1795"/>
      <c r="AK998" s="1796"/>
      <c r="AL998" s="1796"/>
      <c r="AM998" s="1796"/>
      <c r="AN998" s="1796"/>
      <c r="AO998" s="1796"/>
      <c r="AP998" s="1796"/>
      <c r="AQ998" s="1797"/>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 customHeight="1">
      <c r="A999" s="14"/>
      <c r="B999" s="277"/>
      <c r="C999" s="276"/>
      <c r="D999" s="1829"/>
      <c r="E999" s="1830"/>
      <c r="F999" s="1830"/>
      <c r="G999" s="1830"/>
      <c r="H999" s="1830"/>
      <c r="I999" s="1830"/>
      <c r="J999" s="1830"/>
      <c r="K999" s="1830"/>
      <c r="L999" s="1830"/>
      <c r="M999" s="1830"/>
      <c r="N999" s="1830"/>
      <c r="O999" s="1830"/>
      <c r="P999" s="1830"/>
      <c r="Q999" s="1830"/>
      <c r="R999" s="1830"/>
      <c r="S999" s="1830"/>
      <c r="T999" s="1830"/>
      <c r="U999" s="1830"/>
      <c r="V999" s="1830"/>
      <c r="W999" s="1830"/>
      <c r="X999" s="1830"/>
      <c r="Y999" s="1830"/>
      <c r="Z999" s="1830"/>
      <c r="AA999" s="1830"/>
      <c r="AB999" s="1830"/>
      <c r="AC999" s="1830"/>
      <c r="AD999" s="1830"/>
      <c r="AE999" s="1831"/>
      <c r="AF999" s="77"/>
      <c r="AG999" s="7"/>
      <c r="AH999" s="7"/>
      <c r="AI999" s="78"/>
      <c r="AJ999" s="1798"/>
      <c r="AK999" s="1799"/>
      <c r="AL999" s="1799"/>
      <c r="AM999" s="1799"/>
      <c r="AN999" s="1799"/>
      <c r="AO999" s="1799"/>
      <c r="AP999" s="1799"/>
      <c r="AQ999" s="1800"/>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 customHeight="1">
      <c r="A1000" s="14"/>
      <c r="B1000" s="275"/>
      <c r="C1000" s="344"/>
      <c r="D1000" s="1694" t="s">
        <v>1396</v>
      </c>
      <c r="E1000" s="1695"/>
      <c r="F1000" s="1695"/>
      <c r="G1000" s="1695"/>
      <c r="H1000" s="1695"/>
      <c r="I1000" s="1695"/>
      <c r="J1000" s="1695"/>
      <c r="K1000" s="1695"/>
      <c r="L1000" s="1695"/>
      <c r="M1000" s="1695"/>
      <c r="N1000" s="1695"/>
      <c r="O1000" s="1695"/>
      <c r="P1000" s="1695"/>
      <c r="Q1000" s="1695"/>
      <c r="R1000" s="1695"/>
      <c r="S1000" s="1695"/>
      <c r="T1000" s="1695"/>
      <c r="U1000" s="1695"/>
      <c r="V1000" s="1695"/>
      <c r="W1000" s="1695"/>
      <c r="X1000" s="1695"/>
      <c r="Y1000" s="1695"/>
      <c r="Z1000" s="1695"/>
      <c r="AA1000" s="1695"/>
      <c r="AB1000" s="1695"/>
      <c r="AC1000" s="1695"/>
      <c r="AD1000" s="1695"/>
      <c r="AE1000" s="1696"/>
      <c r="AF1000" s="79"/>
      <c r="AG1000" s="1675" t="s">
        <v>677</v>
      </c>
      <c r="AH1000" s="1676"/>
      <c r="AI1000" s="87"/>
      <c r="AJ1000" s="1792">
        <f>ROUND(IF(AG1000="yes",AJ991*0.05,0),0)</f>
        <v>0</v>
      </c>
      <c r="AK1000" s="1793"/>
      <c r="AL1000" s="1793"/>
      <c r="AM1000" s="1793"/>
      <c r="AN1000" s="1793"/>
      <c r="AO1000" s="1793"/>
      <c r="AP1000" s="1793"/>
      <c r="AQ1000" s="1794"/>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 customHeight="1">
      <c r="A1001" s="14"/>
      <c r="B1001" s="277"/>
      <c r="C1001" s="82"/>
      <c r="D1001" s="1810" t="s">
        <v>1394</v>
      </c>
      <c r="E1001" s="1811"/>
      <c r="F1001" s="1811"/>
      <c r="G1001" s="1811"/>
      <c r="H1001" s="1811"/>
      <c r="I1001" s="1811"/>
      <c r="J1001" s="1811"/>
      <c r="K1001" s="1811"/>
      <c r="L1001" s="1811"/>
      <c r="M1001" s="1811"/>
      <c r="N1001" s="1811"/>
      <c r="O1001" s="1811"/>
      <c r="P1001" s="1811"/>
      <c r="Q1001" s="1811"/>
      <c r="R1001" s="1811"/>
      <c r="S1001" s="1811"/>
      <c r="T1001" s="1811"/>
      <c r="U1001" s="1811"/>
      <c r="V1001" s="1811"/>
      <c r="W1001" s="1811"/>
      <c r="X1001" s="1811"/>
      <c r="Y1001" s="1811"/>
      <c r="Z1001" s="1811"/>
      <c r="AA1001" s="1811"/>
      <c r="AB1001" s="1811"/>
      <c r="AC1001" s="1811"/>
      <c r="AD1001" s="1811"/>
      <c r="AE1001" s="1812"/>
      <c r="AF1001" s="73"/>
      <c r="AG1001" s="14"/>
      <c r="AH1001" s="14"/>
      <c r="AI1001" s="83"/>
      <c r="AJ1001" s="1795"/>
      <c r="AK1001" s="1796"/>
      <c r="AL1001" s="1796"/>
      <c r="AM1001" s="1796"/>
      <c r="AN1001" s="1796"/>
      <c r="AO1001" s="1796"/>
      <c r="AP1001" s="1796"/>
      <c r="AQ1001" s="1797"/>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 customHeight="1">
      <c r="A1002" s="14"/>
      <c r="B1002" s="277"/>
      <c r="C1002" s="82"/>
      <c r="D1002" s="1810"/>
      <c r="E1002" s="1811"/>
      <c r="F1002" s="1811"/>
      <c r="G1002" s="1811"/>
      <c r="H1002" s="1811"/>
      <c r="I1002" s="1811"/>
      <c r="J1002" s="1811"/>
      <c r="K1002" s="1811"/>
      <c r="L1002" s="1811"/>
      <c r="M1002" s="1811"/>
      <c r="N1002" s="1811"/>
      <c r="O1002" s="1811"/>
      <c r="P1002" s="1811"/>
      <c r="Q1002" s="1811"/>
      <c r="R1002" s="1811"/>
      <c r="S1002" s="1811"/>
      <c r="T1002" s="1811"/>
      <c r="U1002" s="1811"/>
      <c r="V1002" s="1811"/>
      <c r="W1002" s="1811"/>
      <c r="X1002" s="1811"/>
      <c r="Y1002" s="1811"/>
      <c r="Z1002" s="1811"/>
      <c r="AA1002" s="1811"/>
      <c r="AB1002" s="1811"/>
      <c r="AC1002" s="1811"/>
      <c r="AD1002" s="1811"/>
      <c r="AE1002" s="1812"/>
      <c r="AF1002" s="73"/>
      <c r="AG1002" s="14"/>
      <c r="AH1002" s="14"/>
      <c r="AI1002" s="83"/>
      <c r="AJ1002" s="1795"/>
      <c r="AK1002" s="1796"/>
      <c r="AL1002" s="1796"/>
      <c r="AM1002" s="1796"/>
      <c r="AN1002" s="1796"/>
      <c r="AO1002" s="1796"/>
      <c r="AP1002" s="1796"/>
      <c r="AQ1002" s="1797"/>
      <c r="AR1002" s="68"/>
      <c r="AS1002" s="68"/>
      <c r="AT1002" s="68"/>
      <c r="AU1002" s="68"/>
      <c r="AV1002" s="68"/>
      <c r="AW1002" s="68"/>
      <c r="AX1002" s="68"/>
      <c r="AY1002" s="949">
        <f>G753+O797</f>
        <v>164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 customHeight="1">
      <c r="A1003" s="14"/>
      <c r="B1003" s="277"/>
      <c r="C1003" s="82"/>
      <c r="D1003" s="1810"/>
      <c r="E1003" s="1811"/>
      <c r="F1003" s="1811"/>
      <c r="G1003" s="1811"/>
      <c r="H1003" s="1811"/>
      <c r="I1003" s="1811"/>
      <c r="J1003" s="1811"/>
      <c r="K1003" s="1811"/>
      <c r="L1003" s="1811"/>
      <c r="M1003" s="1811"/>
      <c r="N1003" s="1811"/>
      <c r="O1003" s="1811"/>
      <c r="P1003" s="1811"/>
      <c r="Q1003" s="1811"/>
      <c r="R1003" s="1811"/>
      <c r="S1003" s="1811"/>
      <c r="T1003" s="1811"/>
      <c r="U1003" s="1811"/>
      <c r="V1003" s="1811"/>
      <c r="W1003" s="1811"/>
      <c r="X1003" s="1811"/>
      <c r="Y1003" s="1811"/>
      <c r="Z1003" s="1811"/>
      <c r="AA1003" s="1811"/>
      <c r="AB1003" s="1811"/>
      <c r="AC1003" s="1811"/>
      <c r="AD1003" s="1811"/>
      <c r="AE1003" s="1812"/>
      <c r="AF1003" s="73"/>
      <c r="AG1003" s="14"/>
      <c r="AH1003" s="14"/>
      <c r="AI1003" s="83"/>
      <c r="AJ1003" s="1795"/>
      <c r="AK1003" s="1796"/>
      <c r="AL1003" s="1796"/>
      <c r="AM1003" s="1796"/>
      <c r="AN1003" s="1796"/>
      <c r="AO1003" s="1796"/>
      <c r="AP1003" s="1796"/>
      <c r="AQ1003" s="1797"/>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 customHeight="1">
      <c r="A1004" s="14"/>
      <c r="B1004" s="277"/>
      <c r="C1004" s="82"/>
      <c r="D1004" s="1810"/>
      <c r="E1004" s="1811"/>
      <c r="F1004" s="1811"/>
      <c r="G1004" s="1811"/>
      <c r="H1004" s="1811"/>
      <c r="I1004" s="1811"/>
      <c r="J1004" s="1811"/>
      <c r="K1004" s="1811"/>
      <c r="L1004" s="1811"/>
      <c r="M1004" s="1811"/>
      <c r="N1004" s="1811"/>
      <c r="O1004" s="1811"/>
      <c r="P1004" s="1811"/>
      <c r="Q1004" s="1811"/>
      <c r="R1004" s="1811"/>
      <c r="S1004" s="1811"/>
      <c r="T1004" s="1811"/>
      <c r="U1004" s="1811"/>
      <c r="V1004" s="1811"/>
      <c r="W1004" s="1811"/>
      <c r="X1004" s="1811"/>
      <c r="Y1004" s="1811"/>
      <c r="Z1004" s="1811"/>
      <c r="AA1004" s="1811"/>
      <c r="AB1004" s="1811"/>
      <c r="AC1004" s="1811"/>
      <c r="AD1004" s="1811"/>
      <c r="AE1004" s="1812"/>
      <c r="AF1004" s="73"/>
      <c r="AG1004" s="14"/>
      <c r="AH1004" s="14"/>
      <c r="AI1004" s="83"/>
      <c r="AJ1004" s="1795"/>
      <c r="AK1004" s="1796"/>
      <c r="AL1004" s="1796"/>
      <c r="AM1004" s="1796"/>
      <c r="AN1004" s="1796"/>
      <c r="AO1004" s="1796"/>
      <c r="AP1004" s="1796"/>
      <c r="AQ1004" s="1797"/>
      <c r="AR1004" s="68"/>
      <c r="AS1004" s="68"/>
      <c r="AT1004" s="68"/>
      <c r="AU1004" s="68"/>
      <c r="AV1004" s="68"/>
      <c r="AW1004" s="68"/>
      <c r="AX1004" s="68"/>
      <c r="AY1004" s="948">
        <f>ROUNDDOWN(X1047/I1047,2)</f>
        <v>0.21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 customHeight="1">
      <c r="A1005" s="14"/>
      <c r="B1005" s="75"/>
      <c r="C1005" s="76"/>
      <c r="D1005" s="1813"/>
      <c r="E1005" s="1814"/>
      <c r="F1005" s="1814"/>
      <c r="G1005" s="1814"/>
      <c r="H1005" s="1814"/>
      <c r="I1005" s="1814"/>
      <c r="J1005" s="1814"/>
      <c r="K1005" s="1814"/>
      <c r="L1005" s="1814"/>
      <c r="M1005" s="1814"/>
      <c r="N1005" s="1814"/>
      <c r="O1005" s="1814"/>
      <c r="P1005" s="1814"/>
      <c r="Q1005" s="1814"/>
      <c r="R1005" s="1814"/>
      <c r="S1005" s="1814"/>
      <c r="T1005" s="1814"/>
      <c r="U1005" s="1814"/>
      <c r="V1005" s="1814"/>
      <c r="W1005" s="1814"/>
      <c r="X1005" s="1814"/>
      <c r="Y1005" s="1814"/>
      <c r="Z1005" s="1814"/>
      <c r="AA1005" s="1814"/>
      <c r="AB1005" s="1814"/>
      <c r="AC1005" s="1814"/>
      <c r="AD1005" s="1814"/>
      <c r="AE1005" s="1815"/>
      <c r="AF1005" s="77"/>
      <c r="AG1005" s="7"/>
      <c r="AH1005" s="7"/>
      <c r="AI1005" s="78"/>
      <c r="AJ1005" s="1798"/>
      <c r="AK1005" s="1799"/>
      <c r="AL1005" s="1799"/>
      <c r="AM1005" s="1799"/>
      <c r="AN1005" s="1799"/>
      <c r="AO1005" s="1799"/>
      <c r="AP1005" s="1799"/>
      <c r="AQ1005" s="1800"/>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 customHeight="1">
      <c r="A1006" s="14"/>
      <c r="B1006" s="275"/>
      <c r="C1006" s="80" t="s">
        <v>680</v>
      </c>
      <c r="D1006" s="1694" t="s">
        <v>1870</v>
      </c>
      <c r="E1006" s="1695"/>
      <c r="F1006" s="1695"/>
      <c r="G1006" s="1695"/>
      <c r="H1006" s="1695"/>
      <c r="I1006" s="1695"/>
      <c r="J1006" s="1695"/>
      <c r="K1006" s="1695"/>
      <c r="L1006" s="1695"/>
      <c r="M1006" s="1695"/>
      <c r="N1006" s="1695"/>
      <c r="O1006" s="1695"/>
      <c r="P1006" s="1695"/>
      <c r="Q1006" s="1695"/>
      <c r="R1006" s="1695"/>
      <c r="S1006" s="1695"/>
      <c r="T1006" s="1695"/>
      <c r="U1006" s="1695"/>
      <c r="V1006" s="1695"/>
      <c r="W1006" s="1695"/>
      <c r="X1006" s="1695"/>
      <c r="Y1006" s="1695"/>
      <c r="Z1006" s="1695"/>
      <c r="AA1006" s="1695"/>
      <c r="AB1006" s="1695"/>
      <c r="AC1006" s="1695"/>
      <c r="AD1006" s="1695"/>
      <c r="AE1006" s="1696"/>
      <c r="AF1006" s="86"/>
      <c r="AG1006" s="1675" t="s">
        <v>677</v>
      </c>
      <c r="AH1006" s="1676"/>
      <c r="AI1006" s="87"/>
      <c r="AJ1006" s="1792">
        <f>ROUND(IF(AG1006="yes",AJ991*0.1,0),0)</f>
        <v>0</v>
      </c>
      <c r="AK1006" s="1793"/>
      <c r="AL1006" s="1793"/>
      <c r="AM1006" s="1793"/>
      <c r="AN1006" s="1793"/>
      <c r="AO1006" s="1793"/>
      <c r="AP1006" s="1793"/>
      <c r="AQ1006" s="1794"/>
      <c r="AR1006" s="68"/>
      <c r="AS1006" s="68"/>
      <c r="AT1006" s="68"/>
      <c r="AU1006" s="68"/>
      <c r="AV1006" s="68"/>
      <c r="AW1006" s="68"/>
      <c r="AX1006" s="68"/>
      <c r="BB1006" s="34"/>
      <c r="BD1006" s="34"/>
      <c r="BE1006" s="34"/>
      <c r="BF1006" s="34"/>
    </row>
    <row r="1007" spans="1:157" ht="12.9" customHeight="1">
      <c r="A1007" s="14"/>
      <c r="B1007" s="73"/>
      <c r="C1007" s="74"/>
      <c r="D1007" s="1783" t="s">
        <v>1395</v>
      </c>
      <c r="E1007" s="1784"/>
      <c r="F1007" s="1784"/>
      <c r="G1007" s="1784"/>
      <c r="H1007" s="1784"/>
      <c r="I1007" s="1784"/>
      <c r="J1007" s="1784"/>
      <c r="K1007" s="1784"/>
      <c r="L1007" s="1784"/>
      <c r="M1007" s="1784"/>
      <c r="N1007" s="1784"/>
      <c r="O1007" s="1784"/>
      <c r="P1007" s="1784"/>
      <c r="Q1007" s="1784"/>
      <c r="R1007" s="1784"/>
      <c r="S1007" s="1784"/>
      <c r="T1007" s="1784"/>
      <c r="U1007" s="1784"/>
      <c r="V1007" s="1784"/>
      <c r="W1007" s="1784"/>
      <c r="X1007" s="1784"/>
      <c r="Y1007" s="1784"/>
      <c r="Z1007" s="1784"/>
      <c r="AA1007" s="1784"/>
      <c r="AB1007" s="1784"/>
      <c r="AC1007" s="1784"/>
      <c r="AD1007" s="1784"/>
      <c r="AE1007" s="1785"/>
      <c r="AF1007" s="73"/>
      <c r="AI1007" s="83"/>
      <c r="AJ1007" s="1795"/>
      <c r="AK1007" s="1796"/>
      <c r="AL1007" s="1796"/>
      <c r="AM1007" s="1796"/>
      <c r="AN1007" s="1796"/>
      <c r="AO1007" s="1796"/>
      <c r="AP1007" s="1796"/>
      <c r="AQ1007" s="1797"/>
      <c r="AR1007" s="68"/>
      <c r="AS1007" s="68"/>
      <c r="AT1007" s="68"/>
      <c r="AU1007" s="68"/>
      <c r="AV1007" s="68"/>
      <c r="AW1007" s="68"/>
      <c r="AX1007" s="68"/>
    </row>
    <row r="1008" spans="1:157" ht="12.9" customHeight="1">
      <c r="A1008" s="14"/>
      <c r="B1008" s="73"/>
      <c r="C1008" s="74"/>
      <c r="D1008" s="1783"/>
      <c r="E1008" s="1784"/>
      <c r="F1008" s="1784"/>
      <c r="G1008" s="1784"/>
      <c r="H1008" s="1784"/>
      <c r="I1008" s="1784"/>
      <c r="J1008" s="1784"/>
      <c r="K1008" s="1784"/>
      <c r="L1008" s="1784"/>
      <c r="M1008" s="1784"/>
      <c r="N1008" s="1784"/>
      <c r="O1008" s="1784"/>
      <c r="P1008" s="1784"/>
      <c r="Q1008" s="1784"/>
      <c r="R1008" s="1784"/>
      <c r="S1008" s="1784"/>
      <c r="T1008" s="1784"/>
      <c r="U1008" s="1784"/>
      <c r="V1008" s="1784"/>
      <c r="W1008" s="1784"/>
      <c r="X1008" s="1784"/>
      <c r="Y1008" s="1784"/>
      <c r="Z1008" s="1784"/>
      <c r="AA1008" s="1784"/>
      <c r="AB1008" s="1784"/>
      <c r="AC1008" s="1784"/>
      <c r="AD1008" s="1784"/>
      <c r="AE1008" s="1785"/>
      <c r="AF1008" s="73"/>
      <c r="AG1008" s="14"/>
      <c r="AH1008" s="14"/>
      <c r="AI1008" s="83"/>
      <c r="AJ1008" s="1795"/>
      <c r="AK1008" s="1796"/>
      <c r="AL1008" s="1796"/>
      <c r="AM1008" s="1796"/>
      <c r="AN1008" s="1796"/>
      <c r="AO1008" s="1796"/>
      <c r="AP1008" s="1796"/>
      <c r="AQ1008" s="1797"/>
      <c r="AR1008" s="68"/>
      <c r="AS1008" s="68"/>
      <c r="AT1008" s="68"/>
      <c r="AU1008" s="68"/>
      <c r="AV1008" s="68"/>
      <c r="AW1008" s="68"/>
      <c r="AX1008" s="68"/>
    </row>
    <row r="1009" spans="1:51" ht="12.9" customHeight="1">
      <c r="A1009" s="14"/>
      <c r="B1009" s="85"/>
      <c r="C1009" s="76"/>
      <c r="D1009" s="1816"/>
      <c r="E1009" s="1817"/>
      <c r="F1009" s="1817"/>
      <c r="G1009" s="1817"/>
      <c r="H1009" s="1817"/>
      <c r="I1009" s="1817"/>
      <c r="J1009" s="1817"/>
      <c r="K1009" s="1817"/>
      <c r="L1009" s="1817"/>
      <c r="M1009" s="1817"/>
      <c r="N1009" s="1817"/>
      <c r="O1009" s="1817"/>
      <c r="P1009" s="1817"/>
      <c r="Q1009" s="1817"/>
      <c r="R1009" s="1817"/>
      <c r="S1009" s="1817"/>
      <c r="T1009" s="1817"/>
      <c r="U1009" s="1817"/>
      <c r="V1009" s="1817"/>
      <c r="W1009" s="1817"/>
      <c r="X1009" s="1817"/>
      <c r="Y1009" s="1817"/>
      <c r="Z1009" s="1817"/>
      <c r="AA1009" s="1817"/>
      <c r="AB1009" s="1817"/>
      <c r="AC1009" s="1817"/>
      <c r="AD1009" s="1817"/>
      <c r="AE1009" s="1818"/>
      <c r="AF1009" s="77"/>
      <c r="AG1009" s="7"/>
      <c r="AH1009" s="7"/>
      <c r="AI1009" s="78"/>
      <c r="AJ1009" s="1798"/>
      <c r="AK1009" s="1799"/>
      <c r="AL1009" s="1799"/>
      <c r="AM1009" s="1799"/>
      <c r="AN1009" s="1799"/>
      <c r="AO1009" s="1799"/>
      <c r="AP1009" s="1799"/>
      <c r="AQ1009" s="1800"/>
      <c r="AR1009" s="68"/>
      <c r="AS1009" s="68"/>
      <c r="AT1009" s="68"/>
      <c r="AU1009" s="68"/>
      <c r="AV1009" s="68"/>
      <c r="AW1009" s="68"/>
      <c r="AX1009" s="68"/>
    </row>
    <row r="1010" spans="1:51" ht="12.9" customHeight="1">
      <c r="A1010" s="14"/>
      <c r="B1010" s="79"/>
      <c r="C1010" s="80" t="s">
        <v>213</v>
      </c>
      <c r="D1010" s="1694" t="s">
        <v>1397</v>
      </c>
      <c r="E1010" s="1695"/>
      <c r="F1010" s="1695"/>
      <c r="G1010" s="1695"/>
      <c r="H1010" s="1695"/>
      <c r="I1010" s="1695"/>
      <c r="J1010" s="1695"/>
      <c r="K1010" s="1695"/>
      <c r="L1010" s="1695"/>
      <c r="M1010" s="1695"/>
      <c r="N1010" s="1695"/>
      <c r="O1010" s="1695"/>
      <c r="P1010" s="1695"/>
      <c r="Q1010" s="1695"/>
      <c r="R1010" s="1695"/>
      <c r="S1010" s="1695"/>
      <c r="T1010" s="1695"/>
      <c r="U1010" s="1695"/>
      <c r="V1010" s="1695"/>
      <c r="W1010" s="1695"/>
      <c r="X1010" s="1695"/>
      <c r="Y1010" s="1695"/>
      <c r="Z1010" s="1695"/>
      <c r="AA1010" s="1695"/>
      <c r="AB1010" s="1695"/>
      <c r="AC1010" s="1695"/>
      <c r="AD1010" s="1695"/>
      <c r="AE1010" s="1696"/>
      <c r="AF1010" s="79"/>
      <c r="AG1010" s="1675" t="s">
        <v>677</v>
      </c>
      <c r="AH1010" s="1676"/>
      <c r="AI1010" s="87"/>
      <c r="AJ1010" s="1792">
        <f>ROUND(IF(AG1010="yes",AJ991*0.02,0),0)</f>
        <v>0</v>
      </c>
      <c r="AK1010" s="1793"/>
      <c r="AL1010" s="1793"/>
      <c r="AM1010" s="1793"/>
      <c r="AN1010" s="1793"/>
      <c r="AO1010" s="1793"/>
      <c r="AP1010" s="1793"/>
      <c r="AQ1010" s="1794"/>
      <c r="AR1010" s="68"/>
      <c r="AS1010" s="68"/>
      <c r="AT1010" s="68"/>
      <c r="AU1010" s="68"/>
      <c r="AV1010" s="68"/>
      <c r="AW1010" s="68"/>
      <c r="AX1010" s="68"/>
      <c r="AY1010" s="215">
        <f>IF(SUM(AY1012:AY1020)&lt;=0.1,SUM(AY1012:AY1020),0.1)</f>
        <v>0</v>
      </c>
    </row>
    <row r="1011" spans="1:51" ht="14.25" customHeight="1">
      <c r="A1011" s="14"/>
      <c r="B1011" s="73"/>
      <c r="C1011" s="74"/>
      <c r="D1011" s="1816" t="s">
        <v>1398</v>
      </c>
      <c r="E1011" s="1817"/>
      <c r="F1011" s="1817"/>
      <c r="G1011" s="1817"/>
      <c r="H1011" s="1817"/>
      <c r="I1011" s="1817"/>
      <c r="J1011" s="1817"/>
      <c r="K1011" s="1817"/>
      <c r="L1011" s="1817"/>
      <c r="M1011" s="1817"/>
      <c r="N1011" s="1817"/>
      <c r="O1011" s="1817"/>
      <c r="P1011" s="1817"/>
      <c r="Q1011" s="1817"/>
      <c r="R1011" s="1817"/>
      <c r="S1011" s="1817"/>
      <c r="T1011" s="1817"/>
      <c r="U1011" s="1817"/>
      <c r="V1011" s="1817"/>
      <c r="W1011" s="1817"/>
      <c r="X1011" s="1817"/>
      <c r="Y1011" s="1817"/>
      <c r="Z1011" s="1817"/>
      <c r="AA1011" s="1817"/>
      <c r="AB1011" s="1817"/>
      <c r="AC1011" s="1817"/>
      <c r="AD1011" s="1817"/>
      <c r="AE1011" s="1818"/>
      <c r="AF1011" s="77"/>
      <c r="AG1011" s="7"/>
      <c r="AH1011" s="7"/>
      <c r="AI1011" s="78"/>
      <c r="AJ1011" s="1798"/>
      <c r="AK1011" s="1799"/>
      <c r="AL1011" s="1799"/>
      <c r="AM1011" s="1799"/>
      <c r="AN1011" s="1799"/>
      <c r="AO1011" s="1799"/>
      <c r="AP1011" s="1799"/>
      <c r="AQ1011" s="1800"/>
      <c r="AR1011" s="68"/>
      <c r="AS1011" s="68"/>
      <c r="AT1011" s="68"/>
      <c r="AU1011" s="68"/>
      <c r="AV1011" s="68"/>
      <c r="AW1011" s="68"/>
      <c r="AX1011" s="68"/>
    </row>
    <row r="1012" spans="1:51" ht="12.9" customHeight="1">
      <c r="A1012" s="14"/>
      <c r="B1012" s="79"/>
      <c r="C1012" s="80" t="s">
        <v>216</v>
      </c>
      <c r="D1012" s="1694" t="s">
        <v>1399</v>
      </c>
      <c r="E1012" s="1695"/>
      <c r="F1012" s="1695"/>
      <c r="G1012" s="1695"/>
      <c r="H1012" s="1695"/>
      <c r="I1012" s="1695"/>
      <c r="J1012" s="1695"/>
      <c r="K1012" s="1695"/>
      <c r="L1012" s="1695"/>
      <c r="M1012" s="1695"/>
      <c r="N1012" s="1695"/>
      <c r="O1012" s="1695"/>
      <c r="P1012" s="1695"/>
      <c r="Q1012" s="1695"/>
      <c r="R1012" s="1695"/>
      <c r="S1012" s="1695"/>
      <c r="T1012" s="1695"/>
      <c r="U1012" s="1695"/>
      <c r="V1012" s="1695"/>
      <c r="W1012" s="1695"/>
      <c r="X1012" s="1695"/>
      <c r="Y1012" s="1695"/>
      <c r="Z1012" s="1695"/>
      <c r="AA1012" s="1695"/>
      <c r="AB1012" s="1695"/>
      <c r="AC1012" s="1695"/>
      <c r="AD1012" s="1695"/>
      <c r="AE1012" s="1696"/>
      <c r="AF1012" s="79"/>
      <c r="AG1012" s="1675" t="s">
        <v>677</v>
      </c>
      <c r="AH1012" s="1676"/>
      <c r="AI1012" s="79"/>
      <c r="AJ1012" s="1792">
        <f>ROUND(IF(AG1012="yes",AJ991*0.02,0),0)</f>
        <v>0</v>
      </c>
      <c r="AK1012" s="1793"/>
      <c r="AL1012" s="1793"/>
      <c r="AM1012" s="1793"/>
      <c r="AN1012" s="1793"/>
      <c r="AO1012" s="1793"/>
      <c r="AP1012" s="1793"/>
      <c r="AQ1012" s="1794"/>
      <c r="AR1012" s="68"/>
      <c r="AS1012" s="68"/>
      <c r="AT1012" s="68"/>
      <c r="AU1012" s="68"/>
      <c r="AV1012" s="68"/>
      <c r="AW1012" s="68"/>
      <c r="AX1012" s="68"/>
      <c r="AY1012" s="213">
        <f>IF(A1064="Yes",0.05,0)</f>
        <v>0</v>
      </c>
    </row>
    <row r="1013" spans="1:51" ht="12.9" customHeight="1">
      <c r="A1013" s="14"/>
      <c r="B1013" s="73"/>
      <c r="C1013" s="74"/>
      <c r="D1013" s="1783" t="s">
        <v>1400</v>
      </c>
      <c r="E1013" s="1784"/>
      <c r="F1013" s="1784"/>
      <c r="G1013" s="1784"/>
      <c r="H1013" s="1784"/>
      <c r="I1013" s="1784"/>
      <c r="J1013" s="1784"/>
      <c r="K1013" s="1784"/>
      <c r="L1013" s="1784"/>
      <c r="M1013" s="1784"/>
      <c r="N1013" s="1784"/>
      <c r="O1013" s="1784"/>
      <c r="P1013" s="1784"/>
      <c r="Q1013" s="1784"/>
      <c r="R1013" s="1784"/>
      <c r="S1013" s="1784"/>
      <c r="T1013" s="1784"/>
      <c r="U1013" s="1784"/>
      <c r="V1013" s="1784"/>
      <c r="W1013" s="1784"/>
      <c r="X1013" s="1784"/>
      <c r="Y1013" s="1784"/>
      <c r="Z1013" s="1784"/>
      <c r="AA1013" s="1784"/>
      <c r="AB1013" s="1784"/>
      <c r="AC1013" s="1784"/>
      <c r="AD1013" s="1784"/>
      <c r="AE1013" s="1785"/>
      <c r="AF1013" s="1862" t="str">
        <f>IF(AND(AG1012="yes",AB212&lt;&gt;1),"The project may not be eligible for this boost","")</f>
        <v/>
      </c>
      <c r="AG1013" s="1863"/>
      <c r="AH1013" s="1863"/>
      <c r="AI1013" s="1864"/>
      <c r="AJ1013" s="1795"/>
      <c r="AK1013" s="1796"/>
      <c r="AL1013" s="1796"/>
      <c r="AM1013" s="1796"/>
      <c r="AN1013" s="1796"/>
      <c r="AO1013" s="1796"/>
      <c r="AP1013" s="1796"/>
      <c r="AQ1013" s="1797"/>
      <c r="AR1013" s="68"/>
      <c r="AS1013" s="68"/>
      <c r="AT1013" s="68"/>
      <c r="AU1013" s="68"/>
      <c r="AV1013" s="68"/>
      <c r="AW1013" s="68"/>
      <c r="AX1013" s="68"/>
      <c r="AY1013" s="213">
        <f>IF(A1070="Yes",0.02,0)</f>
        <v>0</v>
      </c>
    </row>
    <row r="1014" spans="1:51" ht="12.9" customHeight="1">
      <c r="A1014" s="14"/>
      <c r="B1014" s="75"/>
      <c r="C1014" s="76"/>
      <c r="D1014" s="1816"/>
      <c r="E1014" s="1817"/>
      <c r="F1014" s="1817"/>
      <c r="G1014" s="1817"/>
      <c r="H1014" s="1817"/>
      <c r="I1014" s="1817"/>
      <c r="J1014" s="1817"/>
      <c r="K1014" s="1817"/>
      <c r="L1014" s="1817"/>
      <c r="M1014" s="1817"/>
      <c r="N1014" s="1817"/>
      <c r="O1014" s="1817"/>
      <c r="P1014" s="1817"/>
      <c r="Q1014" s="1817"/>
      <c r="R1014" s="1817"/>
      <c r="S1014" s="1817"/>
      <c r="T1014" s="1817"/>
      <c r="U1014" s="1817"/>
      <c r="V1014" s="1817"/>
      <c r="W1014" s="1817"/>
      <c r="X1014" s="1817"/>
      <c r="Y1014" s="1817"/>
      <c r="Z1014" s="1817"/>
      <c r="AA1014" s="1817"/>
      <c r="AB1014" s="1817"/>
      <c r="AC1014" s="1817"/>
      <c r="AD1014" s="1817"/>
      <c r="AE1014" s="1818"/>
      <c r="AF1014" s="1865"/>
      <c r="AG1014" s="1866"/>
      <c r="AH1014" s="1866"/>
      <c r="AI1014" s="1867"/>
      <c r="AJ1014" s="1798"/>
      <c r="AK1014" s="1799"/>
      <c r="AL1014" s="1799"/>
      <c r="AM1014" s="1799"/>
      <c r="AN1014" s="1799"/>
      <c r="AO1014" s="1799"/>
      <c r="AP1014" s="1799"/>
      <c r="AQ1014" s="1800"/>
      <c r="AR1014" s="68"/>
      <c r="AS1014" s="68"/>
      <c r="AT1014" s="68"/>
      <c r="AU1014" s="68"/>
      <c r="AV1014" s="68"/>
      <c r="AW1014" s="68"/>
      <c r="AX1014" s="68"/>
      <c r="AY1014" s="213">
        <f>IF(A1076="Yes",0.04,0)</f>
        <v>0</v>
      </c>
    </row>
    <row r="1015" spans="1:51" ht="12.9" customHeight="1">
      <c r="A1015" s="14"/>
      <c r="B1015" s="79"/>
      <c r="C1015" s="80" t="s">
        <v>219</v>
      </c>
      <c r="D1015" s="1637" t="s">
        <v>1401</v>
      </c>
      <c r="E1015" s="1638"/>
      <c r="F1015" s="1638"/>
      <c r="G1015" s="1638"/>
      <c r="H1015" s="1638"/>
      <c r="I1015" s="1638"/>
      <c r="J1015" s="1638"/>
      <c r="K1015" s="1638"/>
      <c r="L1015" s="1638"/>
      <c r="M1015" s="1638"/>
      <c r="N1015" s="1638"/>
      <c r="O1015" s="1638"/>
      <c r="P1015" s="1638"/>
      <c r="Q1015" s="1638"/>
      <c r="R1015" s="1638"/>
      <c r="S1015" s="1638"/>
      <c r="T1015" s="1638"/>
      <c r="U1015" s="1638"/>
      <c r="V1015" s="1638"/>
      <c r="W1015" s="1638"/>
      <c r="X1015" s="1638"/>
      <c r="Y1015" s="1638"/>
      <c r="Z1015" s="1638"/>
      <c r="AA1015" s="1638"/>
      <c r="AB1015" s="1638"/>
      <c r="AC1015" s="1638"/>
      <c r="AD1015" s="1638"/>
      <c r="AE1015" s="1639"/>
      <c r="AF1015" s="79"/>
      <c r="AG1015" s="1675" t="s">
        <v>677</v>
      </c>
      <c r="AH1015" s="1676"/>
      <c r="AI1015" s="87"/>
      <c r="AJ1015" s="1792">
        <f>IF(AG1015="yes",AJ991*AY1010,0)</f>
        <v>0</v>
      </c>
      <c r="AK1015" s="1793"/>
      <c r="AL1015" s="1793"/>
      <c r="AM1015" s="1793"/>
      <c r="AN1015" s="1793"/>
      <c r="AO1015" s="1793"/>
      <c r="AP1015" s="1793"/>
      <c r="AQ1015" s="1794"/>
      <c r="AR1015" s="68"/>
      <c r="AS1015" s="68"/>
      <c r="AT1015" s="68"/>
      <c r="AU1015" s="68"/>
      <c r="AV1015" s="68"/>
      <c r="AW1015" s="68"/>
      <c r="AX1015" s="68"/>
      <c r="AY1015" s="213">
        <f>IF(A1083="Yes",0.04,0)</f>
        <v>0</v>
      </c>
    </row>
    <row r="1016" spans="1:51" ht="12.9" customHeight="1">
      <c r="A1016" s="14"/>
      <c r="B1016" s="73"/>
      <c r="C1016" s="74"/>
      <c r="D1016" s="1783" t="s">
        <v>1402</v>
      </c>
      <c r="E1016" s="1784"/>
      <c r="F1016" s="1784"/>
      <c r="G1016" s="1784"/>
      <c r="H1016" s="1784"/>
      <c r="I1016" s="1784"/>
      <c r="J1016" s="1784"/>
      <c r="K1016" s="1784"/>
      <c r="L1016" s="1784"/>
      <c r="M1016" s="1784"/>
      <c r="N1016" s="1784"/>
      <c r="O1016" s="1784"/>
      <c r="P1016" s="1784"/>
      <c r="Q1016" s="1784"/>
      <c r="R1016" s="1784"/>
      <c r="S1016" s="1784"/>
      <c r="T1016" s="1784"/>
      <c r="U1016" s="1784"/>
      <c r="V1016" s="1784"/>
      <c r="W1016" s="1784"/>
      <c r="X1016" s="1784"/>
      <c r="Y1016" s="1784"/>
      <c r="Z1016" s="1784"/>
      <c r="AA1016" s="1784"/>
      <c r="AB1016" s="1784"/>
      <c r="AC1016" s="1784"/>
      <c r="AD1016" s="1784"/>
      <c r="AE1016" s="1785"/>
      <c r="AF1016" s="1856" t="str">
        <f>IF(AND(AG1015="Yes",AY1010=0),AY1022,"")</f>
        <v/>
      </c>
      <c r="AG1016" s="1857"/>
      <c r="AH1016" s="1857"/>
      <c r="AI1016" s="1858"/>
      <c r="AJ1016" s="1795"/>
      <c r="AK1016" s="1796"/>
      <c r="AL1016" s="1796"/>
      <c r="AM1016" s="1796"/>
      <c r="AN1016" s="1796"/>
      <c r="AO1016" s="1796"/>
      <c r="AP1016" s="1796"/>
      <c r="AQ1016" s="1797"/>
      <c r="AR1016" s="68"/>
      <c r="AS1016" s="68"/>
      <c r="AT1016" s="68"/>
      <c r="AU1016" s="68"/>
      <c r="AV1016" s="68"/>
      <c r="AW1016" s="68"/>
      <c r="AX1016" s="68"/>
      <c r="AY1016" s="213">
        <f>IF(A1086="Yes",0.01,0)</f>
        <v>0</v>
      </c>
    </row>
    <row r="1017" spans="1:51" ht="12.9" customHeight="1">
      <c r="A1017" s="14"/>
      <c r="B1017" s="73"/>
      <c r="C1017" s="74"/>
      <c r="D1017" s="1783"/>
      <c r="E1017" s="1784"/>
      <c r="F1017" s="1784"/>
      <c r="G1017" s="1784"/>
      <c r="H1017" s="1784"/>
      <c r="I1017" s="1784"/>
      <c r="J1017" s="1784"/>
      <c r="K1017" s="1784"/>
      <c r="L1017" s="1784"/>
      <c r="M1017" s="1784"/>
      <c r="N1017" s="1784"/>
      <c r="O1017" s="1784"/>
      <c r="P1017" s="1784"/>
      <c r="Q1017" s="1784"/>
      <c r="R1017" s="1784"/>
      <c r="S1017" s="1784"/>
      <c r="T1017" s="1784"/>
      <c r="U1017" s="1784"/>
      <c r="V1017" s="1784"/>
      <c r="W1017" s="1784"/>
      <c r="X1017" s="1784"/>
      <c r="Y1017" s="1784"/>
      <c r="Z1017" s="1784"/>
      <c r="AA1017" s="1784"/>
      <c r="AB1017" s="1784"/>
      <c r="AC1017" s="1784"/>
      <c r="AD1017" s="1784"/>
      <c r="AE1017" s="1785"/>
      <c r="AF1017" s="1856"/>
      <c r="AG1017" s="1857"/>
      <c r="AH1017" s="1857"/>
      <c r="AI1017" s="1858"/>
      <c r="AJ1017" s="1795"/>
      <c r="AK1017" s="1796"/>
      <c r="AL1017" s="1796"/>
      <c r="AM1017" s="1796"/>
      <c r="AN1017" s="1796"/>
      <c r="AO1017" s="1796"/>
      <c r="AP1017" s="1796"/>
      <c r="AQ1017" s="1797"/>
      <c r="AR1017" s="68"/>
      <c r="AS1017" s="68"/>
      <c r="AT1017" s="68"/>
      <c r="AU1017" s="68"/>
      <c r="AV1017" s="68"/>
      <c r="AW1017" s="68"/>
      <c r="AX1017" s="68"/>
      <c r="AY1017" s="213">
        <f>IF(A1091="Yes",0.01,0)</f>
        <v>0</v>
      </c>
    </row>
    <row r="1018" spans="1:51" ht="12.9" customHeight="1">
      <c r="A1018" s="14"/>
      <c r="B1018" s="81"/>
      <c r="C1018" s="82"/>
      <c r="D1018" s="1816"/>
      <c r="E1018" s="1817"/>
      <c r="F1018" s="1817"/>
      <c r="G1018" s="1817"/>
      <c r="H1018" s="1817"/>
      <c r="I1018" s="1817"/>
      <c r="J1018" s="1817"/>
      <c r="K1018" s="1817"/>
      <c r="L1018" s="1817"/>
      <c r="M1018" s="1817"/>
      <c r="N1018" s="1817"/>
      <c r="O1018" s="1817"/>
      <c r="P1018" s="1817"/>
      <c r="Q1018" s="1817"/>
      <c r="R1018" s="1817"/>
      <c r="S1018" s="1817"/>
      <c r="T1018" s="1817"/>
      <c r="U1018" s="1817"/>
      <c r="V1018" s="1817"/>
      <c r="W1018" s="1817"/>
      <c r="X1018" s="1817"/>
      <c r="Y1018" s="1817"/>
      <c r="Z1018" s="1817"/>
      <c r="AA1018" s="1817"/>
      <c r="AB1018" s="1817"/>
      <c r="AC1018" s="1817"/>
      <c r="AD1018" s="1817"/>
      <c r="AE1018" s="1818"/>
      <c r="AF1018" s="1859"/>
      <c r="AG1018" s="1860"/>
      <c r="AH1018" s="1860"/>
      <c r="AI1018" s="1861"/>
      <c r="AJ1018" s="1798"/>
      <c r="AK1018" s="1799"/>
      <c r="AL1018" s="1799"/>
      <c r="AM1018" s="1799"/>
      <c r="AN1018" s="1799"/>
      <c r="AO1018" s="1799"/>
      <c r="AP1018" s="1799"/>
      <c r="AQ1018" s="1800"/>
      <c r="AR1018" s="68"/>
      <c r="AS1018" s="68"/>
      <c r="AT1018" s="68"/>
      <c r="AU1018" s="68"/>
      <c r="AV1018" s="68"/>
      <c r="AW1018" s="68"/>
      <c r="AX1018" s="68"/>
      <c r="AY1018" s="213">
        <f>IF(A1094="Yes",0.01,0)</f>
        <v>0</v>
      </c>
    </row>
    <row r="1019" spans="1:51" ht="12.9" customHeight="1">
      <c r="A1019" s="14"/>
      <c r="B1019" s="79"/>
      <c r="C1019" s="80" t="s">
        <v>224</v>
      </c>
      <c r="D1019" s="1801" t="s">
        <v>1403</v>
      </c>
      <c r="E1019" s="1802"/>
      <c r="F1019" s="1802"/>
      <c r="G1019" s="1802"/>
      <c r="H1019" s="1802"/>
      <c r="I1019" s="1802"/>
      <c r="J1019" s="1802"/>
      <c r="K1019" s="1802"/>
      <c r="L1019" s="1802"/>
      <c r="M1019" s="1802"/>
      <c r="N1019" s="1802"/>
      <c r="O1019" s="1802"/>
      <c r="P1019" s="1802"/>
      <c r="Q1019" s="1802"/>
      <c r="R1019" s="1802"/>
      <c r="S1019" s="1802"/>
      <c r="T1019" s="1802"/>
      <c r="U1019" s="1802"/>
      <c r="V1019" s="1802"/>
      <c r="W1019" s="1802"/>
      <c r="X1019" s="1802"/>
      <c r="Y1019" s="1802"/>
      <c r="Z1019" s="1802"/>
      <c r="AA1019" s="1802"/>
      <c r="AB1019" s="1802"/>
      <c r="AC1019" s="1802"/>
      <c r="AD1019" s="1802"/>
      <c r="AE1019" s="1803"/>
      <c r="AF1019" s="79"/>
      <c r="AG1019" s="1675" t="s">
        <v>677</v>
      </c>
      <c r="AH1019" s="1676"/>
      <c r="AI1019" s="87"/>
      <c r="AJ1019" s="1792">
        <f>ROUND(IF(AND(AG1019="Yes",J1023&lt;&gt;"N/A",AF1022&lt;&gt;""),MIN(AF1022,(0.15*AJ991)),0),0)</f>
        <v>0</v>
      </c>
      <c r="AK1019" s="1793"/>
      <c r="AL1019" s="1793"/>
      <c r="AM1019" s="1793"/>
      <c r="AN1019" s="1793"/>
      <c r="AO1019" s="1793"/>
      <c r="AP1019" s="1793"/>
      <c r="AQ1019" s="1794"/>
      <c r="AR1019" s="68"/>
      <c r="AS1019" s="68"/>
      <c r="AT1019" s="68"/>
      <c r="AU1019" s="68"/>
      <c r="AV1019" s="68"/>
      <c r="AW1019" s="68"/>
      <c r="AX1019" s="68"/>
      <c r="AY1019" s="213">
        <f>IF(A1098="Yes",0.02,0)</f>
        <v>0</v>
      </c>
    </row>
    <row r="1020" spans="1:51" ht="12.9" customHeight="1">
      <c r="A1020" s="14"/>
      <c r="B1020" s="81"/>
      <c r="C1020" s="84"/>
      <c r="D1020" s="1804"/>
      <c r="E1020" s="1805"/>
      <c r="F1020" s="1805"/>
      <c r="G1020" s="1805"/>
      <c r="H1020" s="1805"/>
      <c r="I1020" s="1805"/>
      <c r="J1020" s="1805"/>
      <c r="K1020" s="1805"/>
      <c r="L1020" s="1805"/>
      <c r="M1020" s="1805"/>
      <c r="N1020" s="1805"/>
      <c r="O1020" s="1805"/>
      <c r="P1020" s="1805"/>
      <c r="Q1020" s="1805"/>
      <c r="R1020" s="1805"/>
      <c r="S1020" s="1805"/>
      <c r="T1020" s="1805"/>
      <c r="U1020" s="1805"/>
      <c r="V1020" s="1805"/>
      <c r="W1020" s="1805"/>
      <c r="X1020" s="1805"/>
      <c r="Y1020" s="1805"/>
      <c r="Z1020" s="1805"/>
      <c r="AA1020" s="1805"/>
      <c r="AB1020" s="1805"/>
      <c r="AC1020" s="1805"/>
      <c r="AD1020" s="1805"/>
      <c r="AE1020" s="1806"/>
      <c r="AF1020" s="1840" t="str">
        <f>IF(AG1019="yes","Please Select Type and Enter Amount:","")</f>
        <v/>
      </c>
      <c r="AG1020" s="1841"/>
      <c r="AH1020" s="1841"/>
      <c r="AI1020" s="1842"/>
      <c r="AJ1020" s="1795"/>
      <c r="AK1020" s="1796"/>
      <c r="AL1020" s="1796"/>
      <c r="AM1020" s="1796"/>
      <c r="AN1020" s="1796"/>
      <c r="AO1020" s="1796"/>
      <c r="AP1020" s="1796"/>
      <c r="AQ1020" s="1797"/>
      <c r="AR1020" s="68"/>
      <c r="AS1020" s="68"/>
      <c r="AT1020" s="68"/>
      <c r="AU1020" s="68"/>
      <c r="AV1020" s="68"/>
      <c r="AW1020" s="68"/>
      <c r="AX1020" s="68"/>
      <c r="AY1020" s="214">
        <f>IF(A1103="Yes",0.02,0)</f>
        <v>0</v>
      </c>
    </row>
    <row r="1021" spans="1:51" ht="12.9" customHeight="1">
      <c r="A1021" s="14"/>
      <c r="B1021" s="81"/>
      <c r="C1021" s="84"/>
      <c r="D1021" s="1783" t="s">
        <v>1404</v>
      </c>
      <c r="E1021" s="1784"/>
      <c r="F1021" s="1784"/>
      <c r="G1021" s="1784"/>
      <c r="H1021" s="1784"/>
      <c r="I1021" s="1784"/>
      <c r="J1021" s="1784"/>
      <c r="K1021" s="1784"/>
      <c r="L1021" s="1784"/>
      <c r="M1021" s="1784"/>
      <c r="N1021" s="1784"/>
      <c r="O1021" s="1784"/>
      <c r="P1021" s="1784"/>
      <c r="Q1021" s="1784"/>
      <c r="R1021" s="1784"/>
      <c r="S1021" s="1784"/>
      <c r="T1021" s="1784"/>
      <c r="U1021" s="1784"/>
      <c r="V1021" s="1784"/>
      <c r="W1021" s="1784"/>
      <c r="X1021" s="1784"/>
      <c r="Y1021" s="1784"/>
      <c r="Z1021" s="1784"/>
      <c r="AA1021" s="1784"/>
      <c r="AB1021" s="1784"/>
      <c r="AC1021" s="1784"/>
      <c r="AD1021" s="1784"/>
      <c r="AE1021" s="1785"/>
      <c r="AF1021" s="1840"/>
      <c r="AG1021" s="1841"/>
      <c r="AH1021" s="1841"/>
      <c r="AI1021" s="1842"/>
      <c r="AJ1021" s="1795"/>
      <c r="AK1021" s="1796"/>
      <c r="AL1021" s="1796"/>
      <c r="AM1021" s="1796"/>
      <c r="AN1021" s="1796"/>
      <c r="AO1021" s="1796"/>
      <c r="AP1021" s="1796"/>
      <c r="AQ1021" s="1797"/>
      <c r="AR1021" s="68"/>
      <c r="AS1021" s="68"/>
      <c r="AT1021" s="68"/>
      <c r="AU1021" s="68"/>
      <c r="AV1021" s="68"/>
      <c r="AW1021" s="68"/>
      <c r="AX1021" s="68"/>
      <c r="AY1021" s="68"/>
    </row>
    <row r="1022" spans="1:51" ht="12.9" customHeight="1">
      <c r="A1022" s="14"/>
      <c r="B1022" s="81"/>
      <c r="C1022" s="84"/>
      <c r="D1022" s="1783"/>
      <c r="E1022" s="1784"/>
      <c r="F1022" s="1784"/>
      <c r="G1022" s="1784"/>
      <c r="H1022" s="1784"/>
      <c r="I1022" s="1784"/>
      <c r="J1022" s="1784"/>
      <c r="K1022" s="1784"/>
      <c r="L1022" s="1784"/>
      <c r="M1022" s="1784"/>
      <c r="N1022" s="1784"/>
      <c r="O1022" s="1784"/>
      <c r="P1022" s="1784"/>
      <c r="Q1022" s="1784"/>
      <c r="R1022" s="1784"/>
      <c r="S1022" s="1784"/>
      <c r="T1022" s="1784"/>
      <c r="U1022" s="1784"/>
      <c r="V1022" s="1784"/>
      <c r="W1022" s="1784"/>
      <c r="X1022" s="1784"/>
      <c r="Y1022" s="1784"/>
      <c r="Z1022" s="1784"/>
      <c r="AA1022" s="1784"/>
      <c r="AB1022" s="1784"/>
      <c r="AC1022" s="1784"/>
      <c r="AD1022" s="1784"/>
      <c r="AE1022" s="1785"/>
      <c r="AF1022" s="1825"/>
      <c r="AG1022" s="1825"/>
      <c r="AH1022" s="1825"/>
      <c r="AI1022" s="1825"/>
      <c r="AJ1022" s="1795"/>
      <c r="AK1022" s="1796"/>
      <c r="AL1022" s="1796"/>
      <c r="AM1022" s="1796"/>
      <c r="AN1022" s="1796"/>
      <c r="AO1022" s="1796"/>
      <c r="AP1022" s="1796"/>
      <c r="AQ1022" s="1797"/>
      <c r="AR1022" s="68"/>
      <c r="AS1022" s="68"/>
      <c r="AT1022" s="68"/>
      <c r="AU1022" s="68"/>
      <c r="AV1022" s="68"/>
      <c r="AW1022" s="68"/>
      <c r="AX1022" s="68"/>
      <c r="AY1022" s="68" t="str">
        <f>"Select items beginning on row #"&amp;TEXT(ROW(A1060),"#")&amp;" to claim this boost"</f>
        <v>Select items beginning on row #1060 to claim this boost</v>
      </c>
    </row>
    <row r="1023" spans="1:51" ht="12.9" customHeight="1">
      <c r="A1023" s="14"/>
      <c r="B1023" s="81"/>
      <c r="C1023" s="84"/>
      <c r="D1023" s="560" t="s">
        <v>360</v>
      </c>
      <c r="E1023" s="90"/>
      <c r="F1023" s="90"/>
      <c r="G1023" s="104"/>
      <c r="H1023" s="104"/>
      <c r="I1023" s="49"/>
      <c r="J1023" s="1832" t="s">
        <v>599</v>
      </c>
      <c r="K1023" s="1833"/>
      <c r="L1023" s="1833"/>
      <c r="M1023" s="1833"/>
      <c r="N1023" s="1833"/>
      <c r="O1023" s="1833"/>
      <c r="P1023" s="1833"/>
      <c r="Q1023" s="1833"/>
      <c r="R1023" s="1833"/>
      <c r="S1023" s="1833"/>
      <c r="T1023" s="1833"/>
      <c r="U1023" s="1833"/>
      <c r="V1023" s="1833"/>
      <c r="W1023" s="1833"/>
      <c r="X1023" s="1833"/>
      <c r="Y1023" s="1833"/>
      <c r="Z1023" s="1833"/>
      <c r="AA1023" s="1833"/>
      <c r="AB1023" s="1833"/>
      <c r="AC1023" s="1833"/>
      <c r="AD1023" s="1833"/>
      <c r="AE1023" s="1834"/>
      <c r="AF1023" s="1825"/>
      <c r="AG1023" s="1825"/>
      <c r="AH1023" s="1825"/>
      <c r="AI1023" s="1825"/>
      <c r="AJ1023" s="1798"/>
      <c r="AK1023" s="1799"/>
      <c r="AL1023" s="1799"/>
      <c r="AM1023" s="1799"/>
      <c r="AN1023" s="1799"/>
      <c r="AO1023" s="1799"/>
      <c r="AP1023" s="1799"/>
      <c r="AQ1023" s="1800"/>
      <c r="AR1023" s="68"/>
      <c r="AS1023" s="68"/>
      <c r="AT1023" s="68"/>
      <c r="AU1023" s="68"/>
      <c r="AV1023" s="68"/>
      <c r="AW1023" s="68"/>
      <c r="AX1023" s="68"/>
      <c r="AY1023" s="68"/>
    </row>
    <row r="1024" spans="1:51" ht="12.9" customHeight="1">
      <c r="A1024" s="14"/>
      <c r="B1024" s="79"/>
      <c r="C1024" s="80" t="s">
        <v>230</v>
      </c>
      <c r="D1024" s="1694" t="s">
        <v>1405</v>
      </c>
      <c r="E1024" s="1695"/>
      <c r="F1024" s="1695"/>
      <c r="G1024" s="1695"/>
      <c r="H1024" s="1695"/>
      <c r="I1024" s="1695"/>
      <c r="J1024" s="1695"/>
      <c r="K1024" s="1695"/>
      <c r="L1024" s="1695"/>
      <c r="M1024" s="1695"/>
      <c r="N1024" s="1695"/>
      <c r="O1024" s="1695"/>
      <c r="P1024" s="1695"/>
      <c r="Q1024" s="1695"/>
      <c r="R1024" s="1695"/>
      <c r="S1024" s="1695"/>
      <c r="T1024" s="1695"/>
      <c r="U1024" s="1695"/>
      <c r="V1024" s="1695"/>
      <c r="W1024" s="1695"/>
      <c r="X1024" s="1695"/>
      <c r="Y1024" s="1695"/>
      <c r="Z1024" s="1695"/>
      <c r="AA1024" s="1695"/>
      <c r="AB1024" s="1695"/>
      <c r="AC1024" s="1695"/>
      <c r="AD1024" s="1695"/>
      <c r="AE1024" s="1696"/>
      <c r="AF1024" s="79"/>
      <c r="AG1024" s="1675" t="s">
        <v>553</v>
      </c>
      <c r="AH1024" s="1676"/>
      <c r="AI1024" s="87"/>
      <c r="AJ1024" s="1792">
        <f>ROUND(IF(AG1024="Yes",AF1026,0),0)</f>
        <v>7863853</v>
      </c>
      <c r="AK1024" s="1793"/>
      <c r="AL1024" s="1793"/>
      <c r="AM1024" s="1793"/>
      <c r="AN1024" s="1793"/>
      <c r="AO1024" s="1793"/>
      <c r="AP1024" s="1793"/>
      <c r="AQ1024" s="1794"/>
      <c r="AR1024" s="68"/>
      <c r="AS1024" s="68"/>
      <c r="AT1024" s="68"/>
      <c r="AU1024" s="68"/>
      <c r="AV1024" s="68"/>
      <c r="AW1024" s="68"/>
      <c r="AX1024" s="68"/>
      <c r="AY1024" s="68"/>
    </row>
    <row r="1025" spans="1:51" ht="12.9" customHeight="1">
      <c r="A1025" s="14"/>
      <c r="B1025" s="73"/>
      <c r="C1025" s="74"/>
      <c r="D1025" s="1783" t="s">
        <v>1877</v>
      </c>
      <c r="E1025" s="1784"/>
      <c r="F1025" s="1784"/>
      <c r="G1025" s="1784"/>
      <c r="H1025" s="1784"/>
      <c r="I1025" s="1784"/>
      <c r="J1025" s="1784"/>
      <c r="K1025" s="1784"/>
      <c r="L1025" s="1784"/>
      <c r="M1025" s="1784"/>
      <c r="N1025" s="1784"/>
      <c r="O1025" s="1784"/>
      <c r="P1025" s="1784"/>
      <c r="Q1025" s="1784"/>
      <c r="R1025" s="1784"/>
      <c r="S1025" s="1784"/>
      <c r="T1025" s="1784"/>
      <c r="U1025" s="1784"/>
      <c r="V1025" s="1784"/>
      <c r="W1025" s="1784"/>
      <c r="X1025" s="1784"/>
      <c r="Y1025" s="1784"/>
      <c r="Z1025" s="1784"/>
      <c r="AA1025" s="1784"/>
      <c r="AB1025" s="1784"/>
      <c r="AC1025" s="1784"/>
      <c r="AD1025" s="1784"/>
      <c r="AE1025" s="1785"/>
      <c r="AF1025" s="1807" t="str">
        <f>IF(AG1024="yes","Enter Amount:","")</f>
        <v>Enter Amount:</v>
      </c>
      <c r="AG1025" s="1808"/>
      <c r="AH1025" s="1808"/>
      <c r="AI1025" s="1809"/>
      <c r="AJ1025" s="1795"/>
      <c r="AK1025" s="1796"/>
      <c r="AL1025" s="1796"/>
      <c r="AM1025" s="1796"/>
      <c r="AN1025" s="1796"/>
      <c r="AO1025" s="1796"/>
      <c r="AP1025" s="1796"/>
      <c r="AQ1025" s="1797"/>
      <c r="AR1025" s="68"/>
      <c r="AS1025" s="68"/>
      <c r="AT1025" s="68"/>
      <c r="AU1025" s="68"/>
      <c r="AV1025" s="68"/>
      <c r="AW1025" s="68"/>
      <c r="AX1025" s="68"/>
      <c r="AY1025" s="68"/>
    </row>
    <row r="1026" spans="1:51" ht="12.9" customHeight="1">
      <c r="A1026" s="14"/>
      <c r="B1026" s="73"/>
      <c r="C1026" s="74"/>
      <c r="D1026" s="1783"/>
      <c r="E1026" s="1784"/>
      <c r="F1026" s="1784"/>
      <c r="G1026" s="1784"/>
      <c r="H1026" s="1784"/>
      <c r="I1026" s="1784"/>
      <c r="J1026" s="1784"/>
      <c r="K1026" s="1784"/>
      <c r="L1026" s="1784"/>
      <c r="M1026" s="1784"/>
      <c r="N1026" s="1784"/>
      <c r="O1026" s="1784"/>
      <c r="P1026" s="1784"/>
      <c r="Q1026" s="1784"/>
      <c r="R1026" s="1784"/>
      <c r="S1026" s="1784"/>
      <c r="T1026" s="1784"/>
      <c r="U1026" s="1784"/>
      <c r="V1026" s="1784"/>
      <c r="W1026" s="1784"/>
      <c r="X1026" s="1784"/>
      <c r="Y1026" s="1784"/>
      <c r="Z1026" s="1784"/>
      <c r="AA1026" s="1784"/>
      <c r="AB1026" s="1784"/>
      <c r="AC1026" s="1784"/>
      <c r="AD1026" s="1784"/>
      <c r="AE1026" s="1785"/>
      <c r="AF1026" s="1825">
        <v>7863853</v>
      </c>
      <c r="AG1026" s="1825"/>
      <c r="AH1026" s="1825"/>
      <c r="AI1026" s="1825"/>
      <c r="AJ1026" s="1795"/>
      <c r="AK1026" s="1796"/>
      <c r="AL1026" s="1796"/>
      <c r="AM1026" s="1796"/>
      <c r="AN1026" s="1796"/>
      <c r="AO1026" s="1796"/>
      <c r="AP1026" s="1796"/>
      <c r="AQ1026" s="1797"/>
      <c r="AR1026" s="68"/>
      <c r="AS1026" s="68"/>
      <c r="AT1026" s="68"/>
      <c r="AU1026" s="68"/>
      <c r="AV1026" s="68"/>
      <c r="AW1026" s="68"/>
      <c r="AX1026" s="68"/>
      <c r="AY1026" s="68"/>
    </row>
    <row r="1027" spans="1:51" ht="12.9" customHeight="1">
      <c r="A1027" s="14"/>
      <c r="B1027" s="85"/>
      <c r="C1027" s="84"/>
      <c r="D1027" s="1816"/>
      <c r="E1027" s="1817"/>
      <c r="F1027" s="1817"/>
      <c r="G1027" s="1817"/>
      <c r="H1027" s="1817"/>
      <c r="I1027" s="1817"/>
      <c r="J1027" s="1817"/>
      <c r="K1027" s="1817"/>
      <c r="L1027" s="1817"/>
      <c r="M1027" s="1817"/>
      <c r="N1027" s="1817"/>
      <c r="O1027" s="1817"/>
      <c r="P1027" s="1817"/>
      <c r="Q1027" s="1817"/>
      <c r="R1027" s="1817"/>
      <c r="S1027" s="1817"/>
      <c r="T1027" s="1817"/>
      <c r="U1027" s="1817"/>
      <c r="V1027" s="1817"/>
      <c r="W1027" s="1817"/>
      <c r="X1027" s="1817"/>
      <c r="Y1027" s="1817"/>
      <c r="Z1027" s="1817"/>
      <c r="AA1027" s="1817"/>
      <c r="AB1027" s="1817"/>
      <c r="AC1027" s="1817"/>
      <c r="AD1027" s="1817"/>
      <c r="AE1027" s="1818"/>
      <c r="AF1027" s="1825"/>
      <c r="AG1027" s="1825"/>
      <c r="AH1027" s="1825"/>
      <c r="AI1027" s="1825"/>
      <c r="AJ1027" s="1798"/>
      <c r="AK1027" s="1799"/>
      <c r="AL1027" s="1799"/>
      <c r="AM1027" s="1799"/>
      <c r="AN1027" s="1799"/>
      <c r="AO1027" s="1799"/>
      <c r="AP1027" s="1799"/>
      <c r="AQ1027" s="1800"/>
      <c r="AR1027" s="68"/>
      <c r="AS1027" s="68"/>
      <c r="AT1027" s="68"/>
      <c r="AU1027" s="68"/>
      <c r="AV1027" s="68"/>
      <c r="AW1027" s="68"/>
      <c r="AX1027" s="68"/>
      <c r="AY1027" s="68"/>
    </row>
    <row r="1028" spans="1:51" ht="12.9" customHeight="1">
      <c r="A1028" s="14"/>
      <c r="B1028" s="79"/>
      <c r="C1028" s="80" t="s">
        <v>235</v>
      </c>
      <c r="D1028" s="1637" t="s">
        <v>1406</v>
      </c>
      <c r="E1028" s="1638"/>
      <c r="F1028" s="1638"/>
      <c r="G1028" s="1638"/>
      <c r="H1028" s="1638"/>
      <c r="I1028" s="1638"/>
      <c r="J1028" s="1638"/>
      <c r="K1028" s="1638"/>
      <c r="L1028" s="1638"/>
      <c r="M1028" s="1638"/>
      <c r="N1028" s="1638"/>
      <c r="O1028" s="1638"/>
      <c r="P1028" s="1638"/>
      <c r="Q1028" s="1638"/>
      <c r="R1028" s="1638"/>
      <c r="S1028" s="1638"/>
      <c r="T1028" s="1638"/>
      <c r="U1028" s="1638"/>
      <c r="V1028" s="1638"/>
      <c r="W1028" s="1638"/>
      <c r="X1028" s="1638"/>
      <c r="Y1028" s="1638"/>
      <c r="Z1028" s="1638"/>
      <c r="AA1028" s="1638"/>
      <c r="AB1028" s="1638"/>
      <c r="AC1028" s="1638"/>
      <c r="AD1028" s="1638"/>
      <c r="AE1028" s="1639"/>
      <c r="AF1028" s="79"/>
      <c r="AG1028" s="1675" t="s">
        <v>677</v>
      </c>
      <c r="AH1028" s="1676"/>
      <c r="AI1028" s="87"/>
      <c r="AJ1028" s="1792">
        <f>ROUND(IF(AG1028="yes",(AJ991*0.1),0),0)</f>
        <v>0</v>
      </c>
      <c r="AK1028" s="1793"/>
      <c r="AL1028" s="1793"/>
      <c r="AM1028" s="1793"/>
      <c r="AN1028" s="1793"/>
      <c r="AO1028" s="1793"/>
      <c r="AP1028" s="1793"/>
      <c r="AQ1028" s="1794"/>
      <c r="AR1028" s="68"/>
      <c r="AS1028" s="68"/>
      <c r="AT1028" s="68"/>
      <c r="AU1028" s="68"/>
      <c r="AV1028" s="68"/>
      <c r="AW1028" s="68"/>
      <c r="AX1028" s="68"/>
      <c r="AY1028" s="68"/>
    </row>
    <row r="1029" spans="1:51" ht="12.9" customHeight="1">
      <c r="A1029" s="14"/>
      <c r="B1029" s="73"/>
      <c r="C1029" s="74"/>
      <c r="D1029" s="1783" t="s">
        <v>1407</v>
      </c>
      <c r="E1029" s="1784"/>
      <c r="F1029" s="1784"/>
      <c r="G1029" s="1784"/>
      <c r="H1029" s="1784"/>
      <c r="I1029" s="1784"/>
      <c r="J1029" s="1784"/>
      <c r="K1029" s="1784"/>
      <c r="L1029" s="1784"/>
      <c r="M1029" s="1784"/>
      <c r="N1029" s="1784"/>
      <c r="O1029" s="1784"/>
      <c r="P1029" s="1784"/>
      <c r="Q1029" s="1784"/>
      <c r="R1029" s="1784"/>
      <c r="S1029" s="1784"/>
      <c r="T1029" s="1784"/>
      <c r="U1029" s="1784"/>
      <c r="V1029" s="1784"/>
      <c r="W1029" s="1784"/>
      <c r="X1029" s="1784"/>
      <c r="Y1029" s="1784"/>
      <c r="Z1029" s="1784"/>
      <c r="AA1029" s="1784"/>
      <c r="AB1029" s="1784"/>
      <c r="AC1029" s="1784"/>
      <c r="AD1029" s="1784"/>
      <c r="AE1029" s="1785"/>
      <c r="AF1029" s="73"/>
      <c r="AG1029" s="14"/>
      <c r="AH1029" s="14"/>
      <c r="AI1029" s="83"/>
      <c r="AJ1029" s="1795"/>
      <c r="AK1029" s="1796"/>
      <c r="AL1029" s="1796"/>
      <c r="AM1029" s="1796"/>
      <c r="AN1029" s="1796"/>
      <c r="AO1029" s="1796"/>
      <c r="AP1029" s="1796"/>
      <c r="AQ1029" s="1797"/>
      <c r="AR1029" s="68"/>
      <c r="AS1029" s="68"/>
      <c r="AT1029" s="68"/>
      <c r="AU1029" s="68"/>
      <c r="AV1029" s="68"/>
      <c r="AW1029" s="68"/>
      <c r="AX1029" s="68"/>
      <c r="AY1029" s="68"/>
    </row>
    <row r="1030" spans="1:51" ht="12.9" customHeight="1">
      <c r="A1030" s="14"/>
      <c r="B1030" s="77"/>
      <c r="C1030" s="74"/>
      <c r="D1030" s="1816"/>
      <c r="E1030" s="1817"/>
      <c r="F1030" s="1817"/>
      <c r="G1030" s="1817"/>
      <c r="H1030" s="1817"/>
      <c r="I1030" s="1817"/>
      <c r="J1030" s="1817"/>
      <c r="K1030" s="1817"/>
      <c r="L1030" s="1817"/>
      <c r="M1030" s="1817"/>
      <c r="N1030" s="1817"/>
      <c r="O1030" s="1817"/>
      <c r="P1030" s="1817"/>
      <c r="Q1030" s="1817"/>
      <c r="R1030" s="1817"/>
      <c r="S1030" s="1817"/>
      <c r="T1030" s="1817"/>
      <c r="U1030" s="1817"/>
      <c r="V1030" s="1817"/>
      <c r="W1030" s="1817"/>
      <c r="X1030" s="1817"/>
      <c r="Y1030" s="1817"/>
      <c r="Z1030" s="1817"/>
      <c r="AA1030" s="1817"/>
      <c r="AB1030" s="1817"/>
      <c r="AC1030" s="1817"/>
      <c r="AD1030" s="1817"/>
      <c r="AE1030" s="1818"/>
      <c r="AF1030" s="73"/>
      <c r="AG1030" s="14"/>
      <c r="AH1030" s="14"/>
      <c r="AI1030" s="83"/>
      <c r="AJ1030" s="1798"/>
      <c r="AK1030" s="1799"/>
      <c r="AL1030" s="1799"/>
      <c r="AM1030" s="1799"/>
      <c r="AN1030" s="1799"/>
      <c r="AO1030" s="1799"/>
      <c r="AP1030" s="1799"/>
      <c r="AQ1030" s="1800"/>
      <c r="AR1030" s="68"/>
      <c r="AS1030" s="68"/>
      <c r="AT1030" s="68"/>
      <c r="AU1030" s="68"/>
      <c r="AV1030" s="68"/>
      <c r="AW1030" s="68"/>
      <c r="AX1030" s="68"/>
      <c r="AY1030" s="68"/>
    </row>
    <row r="1031" spans="1:51" ht="12.9" customHeight="1">
      <c r="A1031" s="14"/>
      <c r="B1031" s="73"/>
      <c r="C1031" s="367" t="s">
        <v>696</v>
      </c>
      <c r="D1031" s="1694" t="s">
        <v>1873</v>
      </c>
      <c r="E1031" s="1695"/>
      <c r="F1031" s="1695"/>
      <c r="G1031" s="1695"/>
      <c r="H1031" s="1695"/>
      <c r="I1031" s="1695"/>
      <c r="J1031" s="1695"/>
      <c r="K1031" s="1695"/>
      <c r="L1031" s="1695"/>
      <c r="M1031" s="1695"/>
      <c r="N1031" s="1695"/>
      <c r="O1031" s="1695"/>
      <c r="P1031" s="1695"/>
      <c r="Q1031" s="1695"/>
      <c r="R1031" s="1695"/>
      <c r="S1031" s="1695"/>
      <c r="T1031" s="1695"/>
      <c r="U1031" s="1695"/>
      <c r="V1031" s="1695"/>
      <c r="W1031" s="1695"/>
      <c r="X1031" s="1695"/>
      <c r="Y1031" s="1695"/>
      <c r="Z1031" s="1695"/>
      <c r="AA1031" s="1695"/>
      <c r="AB1031" s="1695"/>
      <c r="AC1031" s="1695"/>
      <c r="AD1031" s="1695"/>
      <c r="AE1031" s="1696"/>
      <c r="AF1031" s="79"/>
      <c r="AG1031" s="1675" t="s">
        <v>677</v>
      </c>
      <c r="AH1031" s="1676"/>
      <c r="AI1031" s="87"/>
      <c r="AJ1031" s="1792">
        <f>ROUND(IF(AG1031="yes",(AJ991*0.15),0),0)</f>
        <v>0</v>
      </c>
      <c r="AK1031" s="1793"/>
      <c r="AL1031" s="1793"/>
      <c r="AM1031" s="1793"/>
      <c r="AN1031" s="1793"/>
      <c r="AO1031" s="1793"/>
      <c r="AP1031" s="1793"/>
      <c r="AQ1031" s="1794"/>
      <c r="AR1031" s="68"/>
      <c r="AS1031" s="68"/>
      <c r="AT1031" s="68"/>
      <c r="AU1031" s="68"/>
      <c r="AV1031" s="68"/>
      <c r="AW1031" s="68"/>
      <c r="AX1031" s="68"/>
      <c r="AY1031" s="68"/>
    </row>
    <row r="1032" spans="1:51" ht="12.9" customHeight="1">
      <c r="A1032" s="14"/>
      <c r="B1032" s="73"/>
      <c r="C1032" s="74"/>
      <c r="D1032" s="1680" t="s">
        <v>1874</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81"/>
      <c r="AF1032" s="950"/>
      <c r="AG1032" s="951"/>
      <c r="AH1032" s="951"/>
      <c r="AI1032" s="952"/>
      <c r="AJ1032" s="1795"/>
      <c r="AK1032" s="1796"/>
      <c r="AL1032" s="1796"/>
      <c r="AM1032" s="1796"/>
      <c r="AN1032" s="1796"/>
      <c r="AO1032" s="1796"/>
      <c r="AP1032" s="1796"/>
      <c r="AQ1032" s="1797"/>
      <c r="AR1032" s="68"/>
      <c r="AS1032" s="68"/>
      <c r="AT1032" s="68"/>
      <c r="AU1032" s="68"/>
      <c r="AV1032" s="68"/>
      <c r="AW1032" s="68"/>
      <c r="AX1032" s="68"/>
      <c r="AY1032" s="68"/>
    </row>
    <row r="1033" spans="1:51" ht="12.9" customHeight="1">
      <c r="A1033" s="14"/>
      <c r="B1033" s="73"/>
      <c r="C1033" s="74"/>
      <c r="D1033" s="1680"/>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81"/>
      <c r="AF1033" s="950"/>
      <c r="AG1033" s="951"/>
      <c r="AH1033" s="951"/>
      <c r="AI1033" s="952"/>
      <c r="AJ1033" s="1795"/>
      <c r="AK1033" s="1796"/>
      <c r="AL1033" s="1796"/>
      <c r="AM1033" s="1796"/>
      <c r="AN1033" s="1796"/>
      <c r="AO1033" s="1796"/>
      <c r="AP1033" s="1796"/>
      <c r="AQ1033" s="1797"/>
      <c r="AR1033" s="68"/>
      <c r="AS1033" s="68"/>
      <c r="AT1033" s="68"/>
      <c r="AU1033" s="68"/>
      <c r="AV1033" s="68"/>
      <c r="AW1033" s="68"/>
      <c r="AX1033" s="68"/>
      <c r="AY1033" s="68"/>
    </row>
    <row r="1034" spans="1:51" ht="12.9" customHeight="1">
      <c r="A1034" s="14"/>
      <c r="B1034" s="73"/>
      <c r="C1034" s="74"/>
      <c r="D1034" s="1682"/>
      <c r="E1034" s="1683"/>
      <c r="F1034" s="1683"/>
      <c r="G1034" s="1683"/>
      <c r="H1034" s="1683"/>
      <c r="I1034" s="1683"/>
      <c r="J1034" s="1683"/>
      <c r="K1034" s="1683"/>
      <c r="L1034" s="1683"/>
      <c r="M1034" s="1683"/>
      <c r="N1034" s="1683"/>
      <c r="O1034" s="1683"/>
      <c r="P1034" s="1683"/>
      <c r="Q1034" s="1683"/>
      <c r="R1034" s="1683"/>
      <c r="S1034" s="1683"/>
      <c r="T1034" s="1683"/>
      <c r="U1034" s="1683"/>
      <c r="V1034" s="1683"/>
      <c r="W1034" s="1683"/>
      <c r="X1034" s="1683"/>
      <c r="Y1034" s="1683"/>
      <c r="Z1034" s="1683"/>
      <c r="AA1034" s="1683"/>
      <c r="AB1034" s="1683"/>
      <c r="AC1034" s="1683"/>
      <c r="AD1034" s="1683"/>
      <c r="AE1034" s="1684"/>
      <c r="AF1034" s="953"/>
      <c r="AG1034" s="954"/>
      <c r="AH1034" s="954"/>
      <c r="AI1034" s="955"/>
      <c r="AJ1034" s="1798"/>
      <c r="AK1034" s="1799"/>
      <c r="AL1034" s="1799"/>
      <c r="AM1034" s="1799"/>
      <c r="AN1034" s="1799"/>
      <c r="AO1034" s="1799"/>
      <c r="AP1034" s="1799"/>
      <c r="AQ1034" s="1800"/>
      <c r="AR1034" s="68"/>
      <c r="AS1034" s="68"/>
      <c r="AT1034" s="68"/>
      <c r="AU1034" s="68"/>
      <c r="AV1034" s="68"/>
      <c r="AW1034" s="68"/>
      <c r="AX1034" s="68"/>
      <c r="AY1034" s="68"/>
    </row>
    <row r="1035" spans="1:51" ht="12.9" customHeight="1">
      <c r="A1035" s="14"/>
      <c r="B1035" s="73"/>
      <c r="C1035" s="367" t="s">
        <v>696</v>
      </c>
      <c r="D1035" s="1637" t="s">
        <v>1875</v>
      </c>
      <c r="E1035" s="1638"/>
      <c r="F1035" s="1638"/>
      <c r="G1035" s="1638"/>
      <c r="H1035" s="1638"/>
      <c r="I1035" s="1638"/>
      <c r="J1035" s="1638"/>
      <c r="K1035" s="1638"/>
      <c r="L1035" s="1638"/>
      <c r="M1035" s="1638"/>
      <c r="N1035" s="1638"/>
      <c r="O1035" s="1638"/>
      <c r="P1035" s="1638"/>
      <c r="Q1035" s="1638"/>
      <c r="R1035" s="1638"/>
      <c r="S1035" s="1638"/>
      <c r="T1035" s="1638"/>
      <c r="U1035" s="1638"/>
      <c r="V1035" s="1638"/>
      <c r="W1035" s="1638"/>
      <c r="X1035" s="1638"/>
      <c r="Y1035" s="1638"/>
      <c r="Z1035" s="1638"/>
      <c r="AA1035" s="1638"/>
      <c r="AB1035" s="1638"/>
      <c r="AC1035" s="1638"/>
      <c r="AD1035" s="1638"/>
      <c r="AE1035" s="1639"/>
      <c r="AF1035" s="73"/>
      <c r="AG1035" s="1768" t="s">
        <v>677</v>
      </c>
      <c r="AH1035" s="1769"/>
      <c r="AI1035" s="83"/>
      <c r="AJ1035" s="1792">
        <f>ROUND(IF(AND(AG1035="yes",AJ1031=0),(AJ991*0.1),0),0)</f>
        <v>0</v>
      </c>
      <c r="AK1035" s="1793"/>
      <c r="AL1035" s="1793"/>
      <c r="AM1035" s="1793"/>
      <c r="AN1035" s="1793"/>
      <c r="AO1035" s="1793"/>
      <c r="AP1035" s="1793"/>
      <c r="AQ1035" s="1794"/>
      <c r="AR1035" s="68"/>
      <c r="AS1035" s="68"/>
      <c r="AT1035" s="68"/>
      <c r="AU1035" s="68"/>
      <c r="AV1035" s="68"/>
      <c r="AW1035" s="68"/>
      <c r="AX1035" s="68"/>
      <c r="AY1035" s="68"/>
    </row>
    <row r="1036" spans="1:51" ht="12.9" customHeight="1">
      <c r="A1036" s="14"/>
      <c r="B1036" s="73"/>
      <c r="C1036" s="74"/>
      <c r="D1036" s="1680" t="s">
        <v>1876</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81"/>
      <c r="AF1036" s="73"/>
      <c r="AG1036" s="14"/>
      <c r="AH1036" s="14"/>
      <c r="AI1036" s="83"/>
      <c r="AJ1036" s="1795"/>
      <c r="AK1036" s="1796"/>
      <c r="AL1036" s="1796"/>
      <c r="AM1036" s="1796"/>
      <c r="AN1036" s="1796"/>
      <c r="AO1036" s="1796"/>
      <c r="AP1036" s="1796"/>
      <c r="AQ1036" s="1797"/>
      <c r="AR1036" s="68"/>
      <c r="AS1036" s="68"/>
      <c r="AT1036" s="68"/>
      <c r="AU1036" s="68"/>
      <c r="AV1036" s="68"/>
      <c r="AW1036" s="68"/>
      <c r="AX1036" s="68"/>
      <c r="AY1036" s="68"/>
    </row>
    <row r="1037" spans="1:51" ht="12.9" customHeight="1">
      <c r="A1037" s="14"/>
      <c r="B1037" s="73"/>
      <c r="C1037" s="74"/>
      <c r="D1037" s="1680"/>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81"/>
      <c r="AF1037" s="73"/>
      <c r="AG1037" s="14"/>
      <c r="AH1037" s="14"/>
      <c r="AI1037" s="83"/>
      <c r="AJ1037" s="1795"/>
      <c r="AK1037" s="1796"/>
      <c r="AL1037" s="1796"/>
      <c r="AM1037" s="1796"/>
      <c r="AN1037" s="1796"/>
      <c r="AO1037" s="1796"/>
      <c r="AP1037" s="1796"/>
      <c r="AQ1037" s="1797"/>
      <c r="AR1037" s="68"/>
      <c r="AS1037" s="68"/>
      <c r="AT1037" s="68"/>
      <c r="AU1037" s="68"/>
      <c r="AV1037" s="68"/>
      <c r="AW1037" s="68"/>
      <c r="AX1037" s="68"/>
      <c r="AY1037" s="68"/>
    </row>
    <row r="1038" spans="1:51" ht="12.9" customHeight="1">
      <c r="A1038" s="14"/>
      <c r="B1038" s="73"/>
      <c r="C1038" s="74"/>
      <c r="D1038" s="1680"/>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81"/>
      <c r="AF1038" s="73"/>
      <c r="AG1038" s="14"/>
      <c r="AH1038" s="14"/>
      <c r="AI1038" s="83"/>
      <c r="AJ1038" s="1795"/>
      <c r="AK1038" s="1796"/>
      <c r="AL1038" s="1796"/>
      <c r="AM1038" s="1796"/>
      <c r="AN1038" s="1796"/>
      <c r="AO1038" s="1796"/>
      <c r="AP1038" s="1796"/>
      <c r="AQ1038" s="1797"/>
      <c r="AR1038" s="68"/>
      <c r="AS1038" s="68"/>
      <c r="AT1038" s="68"/>
      <c r="AU1038" s="68"/>
      <c r="AV1038" s="68"/>
      <c r="AW1038" s="68"/>
      <c r="AX1038" s="68"/>
      <c r="AY1038" s="68"/>
    </row>
    <row r="1039" spans="1:51" ht="12.9" customHeight="1">
      <c r="A1039" s="14"/>
      <c r="B1039" s="73"/>
      <c r="C1039" s="74"/>
      <c r="D1039" s="1682"/>
      <c r="E1039" s="1683"/>
      <c r="F1039" s="1683"/>
      <c r="G1039" s="1683"/>
      <c r="H1039" s="1683"/>
      <c r="I1039" s="1683"/>
      <c r="J1039" s="1683"/>
      <c r="K1039" s="1683"/>
      <c r="L1039" s="1683"/>
      <c r="M1039" s="1683"/>
      <c r="N1039" s="1683"/>
      <c r="O1039" s="1683"/>
      <c r="P1039" s="1683"/>
      <c r="Q1039" s="1683"/>
      <c r="R1039" s="1683"/>
      <c r="S1039" s="1683"/>
      <c r="T1039" s="1683"/>
      <c r="U1039" s="1683"/>
      <c r="V1039" s="1683"/>
      <c r="W1039" s="1683"/>
      <c r="X1039" s="1683"/>
      <c r="Y1039" s="1683"/>
      <c r="Z1039" s="1683"/>
      <c r="AA1039" s="1683"/>
      <c r="AB1039" s="1683"/>
      <c r="AC1039" s="1683"/>
      <c r="AD1039" s="1683"/>
      <c r="AE1039" s="1684"/>
      <c r="AF1039" s="73"/>
      <c r="AG1039" s="14"/>
      <c r="AH1039" s="14"/>
      <c r="AI1039" s="83"/>
      <c r="AJ1039" s="1795"/>
      <c r="AK1039" s="1796"/>
      <c r="AL1039" s="1796"/>
      <c r="AM1039" s="1796"/>
      <c r="AN1039" s="1796"/>
      <c r="AO1039" s="1796"/>
      <c r="AP1039" s="1796"/>
      <c r="AQ1039" s="1797"/>
      <c r="AR1039" s="68"/>
      <c r="AS1039" s="68"/>
      <c r="AT1039" s="68"/>
      <c r="AU1039" s="68"/>
      <c r="AV1039" s="68"/>
      <c r="AW1039" s="68"/>
      <c r="AX1039" s="68"/>
      <c r="AY1039" s="68"/>
    </row>
    <row r="1040" spans="1:51" ht="12.9" customHeight="1">
      <c r="A1040" s="14"/>
      <c r="B1040" s="79"/>
      <c r="C1040" s="131" t="s">
        <v>1034</v>
      </c>
      <c r="D1040" s="1694" t="s">
        <v>1408</v>
      </c>
      <c r="E1040" s="1695"/>
      <c r="F1040" s="1695"/>
      <c r="G1040" s="1695"/>
      <c r="H1040" s="1695"/>
      <c r="I1040" s="1695"/>
      <c r="J1040" s="1695"/>
      <c r="K1040" s="1695"/>
      <c r="L1040" s="1695"/>
      <c r="M1040" s="1695"/>
      <c r="N1040" s="1695"/>
      <c r="O1040" s="1695"/>
      <c r="P1040" s="1695"/>
      <c r="Q1040" s="1695"/>
      <c r="R1040" s="1695"/>
      <c r="S1040" s="1695"/>
      <c r="T1040" s="1695"/>
      <c r="U1040" s="1695"/>
      <c r="V1040" s="1695"/>
      <c r="W1040" s="1695"/>
      <c r="X1040" s="1695"/>
      <c r="Y1040" s="1695"/>
      <c r="Z1040" s="1695"/>
      <c r="AA1040" s="1695"/>
      <c r="AB1040" s="1695"/>
      <c r="AC1040" s="1695"/>
      <c r="AD1040" s="1695"/>
      <c r="AE1040" s="1696"/>
      <c r="AF1040" s="79"/>
      <c r="AG1040" s="1675" t="s">
        <v>677</v>
      </c>
      <c r="AH1040" s="1676"/>
      <c r="AI1040" s="87"/>
      <c r="AJ1040" s="1792">
        <f>ROUND(IF(AG1040="yes",(AJ991*0.1),0),0)</f>
        <v>0</v>
      </c>
      <c r="AK1040" s="1793"/>
      <c r="AL1040" s="1793"/>
      <c r="AM1040" s="1793"/>
      <c r="AN1040" s="1793"/>
      <c r="AO1040" s="1793"/>
      <c r="AP1040" s="1793"/>
      <c r="AQ1040" s="1794"/>
      <c r="AR1040" s="68"/>
      <c r="AS1040" s="68"/>
      <c r="AT1040" s="68"/>
      <c r="AU1040" s="68"/>
      <c r="AV1040" s="68"/>
      <c r="AW1040" s="68"/>
      <c r="AX1040" s="68"/>
      <c r="AY1040" s="68"/>
    </row>
    <row r="1041" spans="1:51" ht="12.9" customHeight="1">
      <c r="A1041" s="14"/>
      <c r="B1041" s="73"/>
      <c r="C1041" s="74"/>
      <c r="D1041" s="1783" t="s">
        <v>2501</v>
      </c>
      <c r="E1041" s="1784"/>
      <c r="F1041" s="1784"/>
      <c r="G1041" s="1784"/>
      <c r="H1041" s="1784"/>
      <c r="I1041" s="1784"/>
      <c r="J1041" s="1784"/>
      <c r="K1041" s="1784"/>
      <c r="L1041" s="1784"/>
      <c r="M1041" s="1784"/>
      <c r="N1041" s="1784"/>
      <c r="O1041" s="1784"/>
      <c r="P1041" s="1784"/>
      <c r="Q1041" s="1784"/>
      <c r="R1041" s="1784"/>
      <c r="S1041" s="1784"/>
      <c r="T1041" s="1784"/>
      <c r="U1041" s="1784"/>
      <c r="V1041" s="1784"/>
      <c r="W1041" s="1784"/>
      <c r="X1041" s="1784"/>
      <c r="Y1041" s="1784"/>
      <c r="Z1041" s="1784"/>
      <c r="AA1041" s="1784"/>
      <c r="AB1041" s="1784"/>
      <c r="AC1041" s="1784"/>
      <c r="AD1041" s="1784"/>
      <c r="AE1041" s="1785"/>
      <c r="AF1041" s="73"/>
      <c r="AG1041" s="14"/>
      <c r="AH1041" s="14"/>
      <c r="AI1041" s="83"/>
      <c r="AJ1041" s="1795"/>
      <c r="AK1041" s="1796"/>
      <c r="AL1041" s="1796"/>
      <c r="AM1041" s="1796"/>
      <c r="AN1041" s="1796"/>
      <c r="AO1041" s="1796"/>
      <c r="AP1041" s="1796"/>
      <c r="AQ1041" s="1797"/>
      <c r="AR1041" s="68"/>
      <c r="AS1041" s="68"/>
      <c r="AT1041" s="68"/>
      <c r="AU1041" s="68"/>
      <c r="AV1041" s="68"/>
      <c r="AW1041" s="68"/>
      <c r="AX1041" s="68"/>
      <c r="AY1041" s="68"/>
    </row>
    <row r="1042" spans="1:51" ht="12.9" customHeight="1">
      <c r="A1042" s="14"/>
      <c r="B1042" s="73"/>
      <c r="C1042" s="74"/>
      <c r="D1042" s="1783"/>
      <c r="E1042" s="1784"/>
      <c r="F1042" s="1784"/>
      <c r="G1042" s="1784"/>
      <c r="H1042" s="1784"/>
      <c r="I1042" s="1784"/>
      <c r="J1042" s="1784"/>
      <c r="K1042" s="1784"/>
      <c r="L1042" s="1784"/>
      <c r="M1042" s="1784"/>
      <c r="N1042" s="1784"/>
      <c r="O1042" s="1784"/>
      <c r="P1042" s="1784"/>
      <c r="Q1042" s="1784"/>
      <c r="R1042" s="1784"/>
      <c r="S1042" s="1784"/>
      <c r="T1042" s="1784"/>
      <c r="U1042" s="1784"/>
      <c r="V1042" s="1784"/>
      <c r="W1042" s="1784"/>
      <c r="X1042" s="1784"/>
      <c r="Y1042" s="1784"/>
      <c r="Z1042" s="1784"/>
      <c r="AA1042" s="1784"/>
      <c r="AB1042" s="1784"/>
      <c r="AC1042" s="1784"/>
      <c r="AD1042" s="1784"/>
      <c r="AE1042" s="1785"/>
      <c r="AF1042" s="73"/>
      <c r="AG1042" s="14"/>
      <c r="AH1042" s="14"/>
      <c r="AI1042" s="83"/>
      <c r="AJ1042" s="1795"/>
      <c r="AK1042" s="1796"/>
      <c r="AL1042" s="1796"/>
      <c r="AM1042" s="1796"/>
      <c r="AN1042" s="1796"/>
      <c r="AO1042" s="1796"/>
      <c r="AP1042" s="1796"/>
      <c r="AQ1042" s="1797"/>
      <c r="AR1042" s="68"/>
      <c r="AS1042" s="68"/>
      <c r="AT1042" s="68"/>
      <c r="AU1042" s="68"/>
      <c r="AV1042" s="68"/>
      <c r="AW1042" s="68"/>
      <c r="AX1042" s="68"/>
      <c r="AY1042" s="68"/>
    </row>
    <row r="1043" spans="1:51" ht="12.9" customHeight="1">
      <c r="A1043" s="14"/>
      <c r="B1043" s="73"/>
      <c r="C1043" s="74"/>
      <c r="D1043" s="1816"/>
      <c r="E1043" s="1817"/>
      <c r="F1043" s="1817"/>
      <c r="G1043" s="1817"/>
      <c r="H1043" s="1817"/>
      <c r="I1043" s="1817"/>
      <c r="J1043" s="1817"/>
      <c r="K1043" s="1817"/>
      <c r="L1043" s="1817"/>
      <c r="M1043" s="1817"/>
      <c r="N1043" s="1817"/>
      <c r="O1043" s="1817"/>
      <c r="P1043" s="1817"/>
      <c r="Q1043" s="1817"/>
      <c r="R1043" s="1817"/>
      <c r="S1043" s="1817"/>
      <c r="T1043" s="1817"/>
      <c r="U1043" s="1817"/>
      <c r="V1043" s="1817"/>
      <c r="W1043" s="1817"/>
      <c r="X1043" s="1817"/>
      <c r="Y1043" s="1817"/>
      <c r="Z1043" s="1817"/>
      <c r="AA1043" s="1817"/>
      <c r="AB1043" s="1817"/>
      <c r="AC1043" s="1817"/>
      <c r="AD1043" s="1817"/>
      <c r="AE1043" s="1818"/>
      <c r="AF1043" s="73"/>
      <c r="AG1043" s="14"/>
      <c r="AH1043" s="14"/>
      <c r="AI1043" s="83"/>
      <c r="AJ1043" s="1798"/>
      <c r="AK1043" s="1799"/>
      <c r="AL1043" s="1799"/>
      <c r="AM1043" s="1799"/>
      <c r="AN1043" s="1799"/>
      <c r="AO1043" s="1799"/>
      <c r="AP1043" s="1799"/>
      <c r="AQ1043" s="1800"/>
      <c r="AR1043" s="68"/>
      <c r="AS1043" s="68"/>
      <c r="AT1043" s="68"/>
      <c r="AU1043" s="68"/>
      <c r="AV1043" s="68"/>
      <c r="AW1043" s="68"/>
      <c r="AX1043" s="68"/>
      <c r="AY1043" s="68"/>
    </row>
    <row r="1044" spans="1:51" ht="12.9" customHeight="1">
      <c r="A1044" s="14"/>
      <c r="B1044" s="79"/>
      <c r="C1044" s="131" t="s">
        <v>1871</v>
      </c>
      <c r="D1044" s="1637" t="s">
        <v>2053</v>
      </c>
      <c r="E1044" s="1638"/>
      <c r="F1044" s="1638"/>
      <c r="G1044" s="1638"/>
      <c r="H1044" s="1638"/>
      <c r="I1044" s="1638"/>
      <c r="J1044" s="1638"/>
      <c r="K1044" s="1638"/>
      <c r="L1044" s="1638"/>
      <c r="M1044" s="1638"/>
      <c r="N1044" s="1638"/>
      <c r="O1044" s="1638"/>
      <c r="P1044" s="1638"/>
      <c r="Q1044" s="1638"/>
      <c r="R1044" s="1638"/>
      <c r="S1044" s="1638"/>
      <c r="T1044" s="1638"/>
      <c r="U1044" s="1638"/>
      <c r="V1044" s="1638"/>
      <c r="W1044" s="1638"/>
      <c r="X1044" s="1638"/>
      <c r="Y1044" s="1638"/>
      <c r="Z1044" s="1638"/>
      <c r="AA1044" s="1638"/>
      <c r="AB1044" s="1638"/>
      <c r="AC1044" s="1638"/>
      <c r="AD1044" s="1638"/>
      <c r="AE1044" s="1639"/>
      <c r="AF1044" s="79"/>
      <c r="AG1044" s="1790" t="str">
        <f>IF(X1047&gt;0,"Yes","No")</f>
        <v>Yes</v>
      </c>
      <c r="AH1044" s="1791"/>
      <c r="AI1044" s="87"/>
      <c r="AJ1044" s="1792">
        <f>IF((X1047=0),0,AY1004*AJ991)</f>
        <v>20248409.16</v>
      </c>
      <c r="AK1044" s="1793"/>
      <c r="AL1044" s="1793"/>
      <c r="AM1044" s="1793"/>
      <c r="AN1044" s="1793"/>
      <c r="AO1044" s="1793"/>
      <c r="AP1044" s="1793"/>
      <c r="AQ1044" s="1794"/>
      <c r="AR1044" s="68"/>
      <c r="AS1044" s="68"/>
      <c r="AT1044" s="68"/>
      <c r="AU1044" s="68"/>
      <c r="AV1044" s="68"/>
      <c r="AW1044" s="68"/>
      <c r="AX1044" s="68"/>
      <c r="AY1044" s="68"/>
    </row>
    <row r="1045" spans="1:51" ht="12.9" customHeight="1">
      <c r="A1045" s="14"/>
      <c r="B1045" s="73"/>
      <c r="C1045" s="476"/>
      <c r="D1045" s="1783" t="s">
        <v>1410</v>
      </c>
      <c r="E1045" s="1784"/>
      <c r="F1045" s="1784"/>
      <c r="G1045" s="1784"/>
      <c r="H1045" s="1784"/>
      <c r="I1045" s="1784"/>
      <c r="J1045" s="1784"/>
      <c r="K1045" s="1784"/>
      <c r="L1045" s="1784"/>
      <c r="M1045" s="1784"/>
      <c r="N1045" s="1784"/>
      <c r="O1045" s="1784"/>
      <c r="P1045" s="1784"/>
      <c r="Q1045" s="1784"/>
      <c r="R1045" s="1784"/>
      <c r="S1045" s="1784"/>
      <c r="T1045" s="1784"/>
      <c r="U1045" s="1784"/>
      <c r="V1045" s="1784"/>
      <c r="W1045" s="1784"/>
      <c r="X1045" s="1784"/>
      <c r="Y1045" s="1784"/>
      <c r="Z1045" s="1784"/>
      <c r="AA1045" s="1784"/>
      <c r="AB1045" s="1784"/>
      <c r="AC1045" s="1784"/>
      <c r="AD1045" s="1784"/>
      <c r="AE1045" s="1785"/>
      <c r="AF1045" s="73"/>
      <c r="AG1045" s="477"/>
      <c r="AH1045" s="477"/>
      <c r="AI1045" s="83"/>
      <c r="AJ1045" s="1795"/>
      <c r="AK1045" s="1796"/>
      <c r="AL1045" s="1796"/>
      <c r="AM1045" s="1796"/>
      <c r="AN1045" s="1796"/>
      <c r="AO1045" s="1796"/>
      <c r="AP1045" s="1796"/>
      <c r="AQ1045" s="1797"/>
      <c r="AR1045" s="68"/>
      <c r="AS1045" s="68"/>
      <c r="AT1045" s="68"/>
      <c r="AU1045" s="13"/>
      <c r="AV1045" s="68"/>
      <c r="AW1045" s="68"/>
      <c r="AX1045" s="68"/>
      <c r="AY1045" s="68"/>
    </row>
    <row r="1046" spans="1:51" ht="12.9" customHeight="1">
      <c r="A1046" s="14"/>
      <c r="B1046" s="73"/>
      <c r="C1046" s="476"/>
      <c r="D1046" s="1783"/>
      <c r="E1046" s="1784"/>
      <c r="F1046" s="1784"/>
      <c r="G1046" s="1784"/>
      <c r="H1046" s="1784"/>
      <c r="I1046" s="1784"/>
      <c r="J1046" s="1784"/>
      <c r="K1046" s="1784"/>
      <c r="L1046" s="1784"/>
      <c r="M1046" s="1784"/>
      <c r="N1046" s="1784"/>
      <c r="O1046" s="1784"/>
      <c r="P1046" s="1784"/>
      <c r="Q1046" s="1784"/>
      <c r="R1046" s="1784"/>
      <c r="S1046" s="1784"/>
      <c r="T1046" s="1784"/>
      <c r="U1046" s="1784"/>
      <c r="V1046" s="1784"/>
      <c r="W1046" s="1784"/>
      <c r="X1046" s="1784"/>
      <c r="Y1046" s="1784"/>
      <c r="Z1046" s="1784"/>
      <c r="AA1046" s="1784"/>
      <c r="AB1046" s="1784"/>
      <c r="AC1046" s="1784"/>
      <c r="AD1046" s="1784"/>
      <c r="AE1046" s="1785"/>
      <c r="AF1046" s="73"/>
      <c r="AG1046" s="477"/>
      <c r="AH1046" s="477"/>
      <c r="AI1046" s="83"/>
      <c r="AJ1046" s="1795"/>
      <c r="AK1046" s="1796"/>
      <c r="AL1046" s="1796"/>
      <c r="AM1046" s="1796"/>
      <c r="AN1046" s="1796"/>
      <c r="AO1046" s="1796"/>
      <c r="AP1046" s="1796"/>
      <c r="AQ1046" s="1797"/>
      <c r="AR1046" s="68"/>
      <c r="AS1046" s="68"/>
      <c r="AT1046" s="68"/>
      <c r="AU1046" s="13"/>
      <c r="AV1046" s="68"/>
      <c r="AW1046" s="68"/>
      <c r="AX1046" s="68"/>
      <c r="AY1046" s="68"/>
    </row>
    <row r="1047" spans="1:51" ht="12.9" customHeight="1">
      <c r="A1047" s="14"/>
      <c r="B1047" s="77"/>
      <c r="C1047" s="78"/>
      <c r="D1047" s="132" t="s">
        <v>991</v>
      </c>
      <c r="E1047" s="133"/>
      <c r="F1047" s="133"/>
      <c r="G1047" s="133"/>
      <c r="H1047" s="133"/>
      <c r="I1047" s="1788">
        <f>AY1002</f>
        <v>164</v>
      </c>
      <c r="J1047" s="1789"/>
      <c r="K1047" s="7"/>
      <c r="L1047" s="133"/>
      <c r="M1047" s="133"/>
      <c r="N1047" s="133"/>
      <c r="O1047" s="133"/>
      <c r="P1047" s="133"/>
      <c r="Q1047" s="133"/>
      <c r="R1047" s="133"/>
      <c r="S1047" s="133"/>
      <c r="T1047" s="133"/>
      <c r="U1047" s="133"/>
      <c r="V1047" s="134" t="s">
        <v>992</v>
      </c>
      <c r="W1047" s="48"/>
      <c r="X1047" s="1786">
        <f>BG632</f>
        <v>36</v>
      </c>
      <c r="Y1047" s="1787"/>
      <c r="Z1047" s="48"/>
      <c r="AA1047" s="48"/>
      <c r="AB1047" s="48"/>
      <c r="AC1047" s="48"/>
      <c r="AD1047" s="48"/>
      <c r="AE1047" s="49"/>
      <c r="AF1047" s="959"/>
      <c r="AG1047" s="960"/>
      <c r="AH1047" s="960"/>
      <c r="AI1047" s="961"/>
      <c r="AJ1047" s="1798"/>
      <c r="AK1047" s="1799"/>
      <c r="AL1047" s="1799"/>
      <c r="AM1047" s="1799"/>
      <c r="AN1047" s="1799"/>
      <c r="AO1047" s="1799"/>
      <c r="AP1047" s="1799"/>
      <c r="AQ1047" s="1800"/>
      <c r="AR1047" s="68"/>
      <c r="AS1047" s="68"/>
      <c r="AT1047" s="68"/>
      <c r="AU1047" s="14"/>
      <c r="AV1047" s="68"/>
      <c r="AW1047" s="68"/>
      <c r="AX1047" s="68"/>
      <c r="AY1047" s="68"/>
    </row>
    <row r="1048" spans="1:51" ht="12.9" customHeight="1">
      <c r="A1048" s="14"/>
      <c r="B1048" s="79"/>
      <c r="C1048" s="131" t="s">
        <v>1872</v>
      </c>
      <c r="D1048" s="1694" t="s">
        <v>2532</v>
      </c>
      <c r="E1048" s="1695"/>
      <c r="F1048" s="1695"/>
      <c r="G1048" s="1695"/>
      <c r="H1048" s="1695"/>
      <c r="I1048" s="1695"/>
      <c r="J1048" s="1695"/>
      <c r="K1048" s="1695"/>
      <c r="L1048" s="1695"/>
      <c r="M1048" s="1695"/>
      <c r="N1048" s="1695"/>
      <c r="O1048" s="1695"/>
      <c r="P1048" s="1695"/>
      <c r="Q1048" s="1695"/>
      <c r="R1048" s="1695"/>
      <c r="S1048" s="1695"/>
      <c r="T1048" s="1695"/>
      <c r="U1048" s="1695"/>
      <c r="V1048" s="1695"/>
      <c r="W1048" s="1695"/>
      <c r="X1048" s="1695"/>
      <c r="Y1048" s="1695"/>
      <c r="Z1048" s="1695"/>
      <c r="AA1048" s="1695"/>
      <c r="AB1048" s="1695"/>
      <c r="AC1048" s="1695"/>
      <c r="AD1048" s="1695"/>
      <c r="AE1048" s="1696"/>
      <c r="AF1048" s="73"/>
      <c r="AG1048" s="1790" t="str">
        <f>IF(X1051&gt;0,"Yes","No")</f>
        <v>Yes</v>
      </c>
      <c r="AH1048" s="1791"/>
      <c r="AI1048" s="83"/>
      <c r="AJ1048" s="1792">
        <f>IF((X1051=0),0,(2*AY1005)*AJ991)</f>
        <v>19284199.199999999</v>
      </c>
      <c r="AK1048" s="1793"/>
      <c r="AL1048" s="1793"/>
      <c r="AM1048" s="1793"/>
      <c r="AN1048" s="1793"/>
      <c r="AO1048" s="1793"/>
      <c r="AP1048" s="1793"/>
      <c r="AQ1048" s="1794"/>
      <c r="AR1048" s="68"/>
      <c r="AS1048" s="68"/>
      <c r="AT1048" s="68"/>
      <c r="AU1048" s="14"/>
      <c r="AV1048" s="68"/>
      <c r="AW1048" s="68"/>
      <c r="AX1048" s="68"/>
      <c r="AY1048" s="68"/>
    </row>
    <row r="1049" spans="1:51" ht="12.9" customHeight="1">
      <c r="A1049" s="14"/>
      <c r="B1049" s="73"/>
      <c r="C1049" s="476"/>
      <c r="D1049" s="1783" t="s">
        <v>1409</v>
      </c>
      <c r="E1049" s="1784"/>
      <c r="F1049" s="1784"/>
      <c r="G1049" s="1784"/>
      <c r="H1049" s="1784"/>
      <c r="I1049" s="1784"/>
      <c r="J1049" s="1784"/>
      <c r="K1049" s="1784"/>
      <c r="L1049" s="1784"/>
      <c r="M1049" s="1784"/>
      <c r="N1049" s="1784"/>
      <c r="O1049" s="1784"/>
      <c r="P1049" s="1784"/>
      <c r="Q1049" s="1784"/>
      <c r="R1049" s="1784"/>
      <c r="S1049" s="1784"/>
      <c r="T1049" s="1784"/>
      <c r="U1049" s="1784"/>
      <c r="V1049" s="1784"/>
      <c r="W1049" s="1784"/>
      <c r="X1049" s="1784"/>
      <c r="Y1049" s="1784"/>
      <c r="Z1049" s="1784"/>
      <c r="AA1049" s="1784"/>
      <c r="AB1049" s="1784"/>
      <c r="AC1049" s="1784"/>
      <c r="AD1049" s="1784"/>
      <c r="AE1049" s="1785"/>
      <c r="AF1049" s="73"/>
      <c r="AG1049" s="477"/>
      <c r="AH1049" s="477"/>
      <c r="AI1049" s="83"/>
      <c r="AJ1049" s="1795"/>
      <c r="AK1049" s="1796"/>
      <c r="AL1049" s="1796"/>
      <c r="AM1049" s="1796"/>
      <c r="AN1049" s="1796"/>
      <c r="AO1049" s="1796"/>
      <c r="AP1049" s="1796"/>
      <c r="AQ1049" s="1797"/>
      <c r="AR1049" s="68"/>
      <c r="AS1049" s="68"/>
      <c r="AT1049" s="68"/>
      <c r="AU1049" s="68"/>
      <c r="AV1049" s="68"/>
      <c r="AW1049" s="68"/>
      <c r="AX1049" s="68"/>
      <c r="AY1049" s="68"/>
    </row>
    <row r="1050" spans="1:51" ht="12.9" customHeight="1">
      <c r="A1050" s="14"/>
      <c r="B1050" s="73"/>
      <c r="C1050" s="83"/>
      <c r="D1050" s="1783"/>
      <c r="E1050" s="1784"/>
      <c r="F1050" s="1784"/>
      <c r="G1050" s="1784"/>
      <c r="H1050" s="1784"/>
      <c r="I1050" s="1784"/>
      <c r="J1050" s="1784"/>
      <c r="K1050" s="1784"/>
      <c r="L1050" s="1784"/>
      <c r="M1050" s="1784"/>
      <c r="N1050" s="1784"/>
      <c r="O1050" s="1784"/>
      <c r="P1050" s="1784"/>
      <c r="Q1050" s="1784"/>
      <c r="R1050" s="1784"/>
      <c r="S1050" s="1784"/>
      <c r="T1050" s="1784"/>
      <c r="U1050" s="1784"/>
      <c r="V1050" s="1784"/>
      <c r="W1050" s="1784"/>
      <c r="X1050" s="1784"/>
      <c r="Y1050" s="1784"/>
      <c r="Z1050" s="1784"/>
      <c r="AA1050" s="1784"/>
      <c r="AB1050" s="1784"/>
      <c r="AC1050" s="1784"/>
      <c r="AD1050" s="1784"/>
      <c r="AE1050" s="1785"/>
      <c r="AF1050" s="956"/>
      <c r="AG1050" s="957"/>
      <c r="AH1050" s="957"/>
      <c r="AI1050" s="958"/>
      <c r="AJ1050" s="1795"/>
      <c r="AK1050" s="1796"/>
      <c r="AL1050" s="1796"/>
      <c r="AM1050" s="1796"/>
      <c r="AN1050" s="1796"/>
      <c r="AO1050" s="1796"/>
      <c r="AP1050" s="1796"/>
      <c r="AQ1050" s="1797"/>
      <c r="AR1050" s="68"/>
      <c r="AS1050" s="68"/>
      <c r="AT1050" s="68"/>
      <c r="AU1050" s="68"/>
      <c r="AV1050" s="68"/>
      <c r="AW1050" s="68"/>
      <c r="AX1050" s="68"/>
      <c r="AY1050" s="68"/>
    </row>
    <row r="1051" spans="1:51" ht="12.9" customHeight="1">
      <c r="A1051" s="14"/>
      <c r="B1051" s="77"/>
      <c r="C1051" s="78"/>
      <c r="D1051" s="132" t="s">
        <v>991</v>
      </c>
      <c r="E1051" s="133"/>
      <c r="F1051" s="133"/>
      <c r="G1051" s="133"/>
      <c r="H1051" s="133"/>
      <c r="I1051" s="1788">
        <f>AY1002</f>
        <v>164</v>
      </c>
      <c r="J1051" s="1789"/>
      <c r="K1051" s="14"/>
      <c r="L1051" s="133"/>
      <c r="M1051" s="133"/>
      <c r="N1051" s="133"/>
      <c r="O1051" s="133"/>
      <c r="P1051" s="133"/>
      <c r="Q1051" s="133"/>
      <c r="R1051" s="133"/>
      <c r="S1051" s="133"/>
      <c r="T1051" s="133"/>
      <c r="U1051" s="133"/>
      <c r="V1051" s="134" t="s">
        <v>993</v>
      </c>
      <c r="X1051" s="1786">
        <f>BK632</f>
        <v>18</v>
      </c>
      <c r="Y1051" s="1787"/>
      <c r="AF1051" s="959"/>
      <c r="AG1051" s="960"/>
      <c r="AH1051" s="960"/>
      <c r="AI1051" s="961"/>
      <c r="AJ1051" s="1798"/>
      <c r="AK1051" s="1799"/>
      <c r="AL1051" s="1799"/>
      <c r="AM1051" s="1799"/>
      <c r="AN1051" s="1799"/>
      <c r="AO1051" s="1799"/>
      <c r="AP1051" s="1799"/>
      <c r="AQ1051" s="1800"/>
      <c r="AR1051" s="68"/>
      <c r="AS1051" s="68"/>
      <c r="AT1051" s="68"/>
      <c r="AU1051" s="68"/>
      <c r="AV1051" s="68"/>
      <c r="AW1051" s="68"/>
      <c r="AX1051" s="68"/>
      <c r="AY1051" s="68"/>
    </row>
    <row r="1052" spans="1:51" ht="12.9" customHeight="1">
      <c r="A1052" s="14"/>
      <c r="B1052" s="102"/>
      <c r="C1052" s="103"/>
      <c r="D1052" s="1766" t="s">
        <v>521</v>
      </c>
      <c r="E1052" s="1766"/>
      <c r="F1052" s="1766"/>
      <c r="G1052" s="1766"/>
      <c r="H1052" s="1766"/>
      <c r="I1052" s="1766"/>
      <c r="J1052" s="1766"/>
      <c r="K1052" s="1766"/>
      <c r="L1052" s="1766"/>
      <c r="M1052" s="1766"/>
      <c r="N1052" s="1766"/>
      <c r="O1052" s="1766"/>
      <c r="P1052" s="1766"/>
      <c r="Q1052" s="1766"/>
      <c r="R1052" s="1766"/>
      <c r="S1052" s="1766"/>
      <c r="T1052" s="1766"/>
      <c r="U1052" s="1766"/>
      <c r="V1052" s="1766"/>
      <c r="W1052" s="1766"/>
      <c r="X1052" s="1766"/>
      <c r="Y1052" s="1766"/>
      <c r="Z1052" s="1766"/>
      <c r="AA1052" s="1766"/>
      <c r="AB1052" s="1766"/>
      <c r="AC1052" s="1766"/>
      <c r="AD1052" s="1766"/>
      <c r="AE1052" s="1766"/>
      <c r="AF1052" s="1766"/>
      <c r="AG1052" s="1766"/>
      <c r="AH1052" s="1766"/>
      <c r="AI1052" s="1767"/>
      <c r="AJ1052" s="1746">
        <f>SUM(AJ991:AQ1051)</f>
        <v>143817457.35999998</v>
      </c>
      <c r="AK1052" s="1747"/>
      <c r="AL1052" s="1747"/>
      <c r="AM1052" s="1747"/>
      <c r="AN1052" s="1747"/>
      <c r="AO1052" s="1747"/>
      <c r="AP1052" s="1747"/>
      <c r="AQ1052" s="1748"/>
      <c r="AR1052" s="68"/>
      <c r="AS1052" s="68"/>
      <c r="AT1052" s="68"/>
      <c r="AU1052" s="68"/>
      <c r="AV1052" s="68"/>
      <c r="AW1052" s="68"/>
      <c r="AX1052" s="68"/>
      <c r="AY1052" s="68"/>
    </row>
    <row r="1053" spans="1:51" ht="12.9"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 customHeight="1">
      <c r="A1059" s="88"/>
      <c r="B1059" s="1870">
        <f>IF(ISNA(IF((AJ1019&gt;(AJ991*0.15)),"(f) cannot be greater than 15% of unadjusted eligible basis.",0)),"",(IF((AJ1019&gt;(AJ991*0.15)),"(f) cannot be greater than 15% of unadjusted eligible basis.",0)))</f>
        <v>0</v>
      </c>
      <c r="C1059" s="1870"/>
      <c r="D1059" s="1870"/>
      <c r="E1059" s="1870"/>
      <c r="F1059" s="1870"/>
      <c r="G1059" s="1870"/>
      <c r="H1059" s="1870"/>
      <c r="I1059" s="1870"/>
      <c r="J1059" s="1870"/>
      <c r="K1059" s="1870"/>
      <c r="L1059" s="1870"/>
      <c r="M1059" s="1870"/>
      <c r="N1059" s="1870"/>
      <c r="O1059" s="1870"/>
      <c r="P1059" s="1870"/>
      <c r="Q1059" s="1870"/>
      <c r="R1059" s="1870"/>
      <c r="S1059" s="1870"/>
      <c r="T1059" s="1870"/>
      <c r="U1059" s="1870"/>
      <c r="V1059" s="1870"/>
      <c r="W1059" s="1870"/>
      <c r="X1059" s="1870"/>
      <c r="Y1059" s="1870"/>
      <c r="Z1059" s="1870"/>
      <c r="AA1059" s="1870"/>
      <c r="AB1059" s="1870"/>
      <c r="AC1059" s="1870"/>
      <c r="AD1059" s="1870"/>
      <c r="AE1059" s="1870"/>
      <c r="AF1059" s="1870"/>
      <c r="AG1059" s="1870"/>
      <c r="AH1059" s="1870"/>
      <c r="AI1059" s="1870"/>
      <c r="AJ1059" s="1870"/>
      <c r="AK1059" s="1870"/>
      <c r="AL1059" s="1870"/>
      <c r="AM1059" s="1870"/>
      <c r="AN1059" s="1870"/>
      <c r="AO1059" s="1870"/>
      <c r="AP1059" s="1870"/>
      <c r="AQ1059" s="68"/>
      <c r="AR1059" s="68"/>
      <c r="AS1059" s="68"/>
      <c r="AT1059" s="68"/>
      <c r="AU1059" s="68"/>
      <c r="AV1059" s="68"/>
      <c r="AW1059" s="68"/>
      <c r="AX1059" s="68"/>
      <c r="AY1059" s="68"/>
    </row>
    <row r="1060" spans="1:51" ht="12.9"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 customHeight="1">
      <c r="A1064" s="1374" t="s">
        <v>599</v>
      </c>
      <c r="B1064" s="1374"/>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 customHeight="1">
      <c r="A1070" s="1374" t="s">
        <v>599</v>
      </c>
      <c r="B1070" s="1374"/>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 customHeight="1">
      <c r="A1076" s="1374" t="s">
        <v>599</v>
      </c>
      <c r="B1076" s="1374"/>
      <c r="C1076" s="8">
        <v>3</v>
      </c>
      <c r="D1076" s="1266" t="s">
        <v>2455</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 customHeight="1">
      <c r="A1083" s="1374" t="s">
        <v>599</v>
      </c>
      <c r="B1083" s="1374"/>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 customHeight="1">
      <c r="A1086" s="1374" t="s">
        <v>599</v>
      </c>
      <c r="B1086" s="1374"/>
      <c r="C1086" s="8">
        <v>5</v>
      </c>
      <c r="D1086" s="1266" t="s">
        <v>2456</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 customHeight="1">
      <c r="A1091" s="1374" t="s">
        <v>599</v>
      </c>
      <c r="B1091" s="1374"/>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 customHeight="1">
      <c r="A1094" s="1374" t="s">
        <v>599</v>
      </c>
      <c r="B1094" s="1374"/>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 customHeight="1">
      <c r="A1098" s="1374" t="s">
        <v>599</v>
      </c>
      <c r="B1098" s="1374"/>
      <c r="C1098" s="212">
        <v>8</v>
      </c>
      <c r="D1098" s="1350" t="s">
        <v>1869</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74" t="s">
        <v>599</v>
      </c>
      <c r="B1103" s="1374"/>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D759:AF759"/>
    <mergeCell ref="T774:W774"/>
    <mergeCell ref="J779:K779"/>
    <mergeCell ref="X735:AB735"/>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35:J735"/>
    <mergeCell ref="G736:J736"/>
    <mergeCell ref="X739:AB739"/>
    <mergeCell ref="AK750:AO750"/>
    <mergeCell ref="AK751:AO751"/>
    <mergeCell ref="T733:W733"/>
    <mergeCell ref="K752:N752"/>
    <mergeCell ref="K738:N738"/>
    <mergeCell ref="A69:AT70"/>
    <mergeCell ref="C633:L633"/>
    <mergeCell ref="G740:J740"/>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B743:F743"/>
    <mergeCell ref="B744:F744"/>
    <mergeCell ref="O769:S772"/>
    <mergeCell ref="AH749:AJ749"/>
    <mergeCell ref="P339:R339"/>
    <mergeCell ref="N363:O363"/>
    <mergeCell ref="I392:N392"/>
    <mergeCell ref="M357:N357"/>
    <mergeCell ref="J385:U385"/>
    <mergeCell ref="V381:W381"/>
    <mergeCell ref="T555:V555"/>
    <mergeCell ref="W559:Y559"/>
    <mergeCell ref="W632:Y632"/>
    <mergeCell ref="G594:R594"/>
    <mergeCell ref="Z612:AK612"/>
    <mergeCell ref="AC627:AE627"/>
    <mergeCell ref="Q635:S635"/>
    <mergeCell ref="T630:V630"/>
    <mergeCell ref="T631:V631"/>
    <mergeCell ref="T632:V632"/>
    <mergeCell ref="Z577:AK577"/>
    <mergeCell ref="AE565:AH565"/>
    <mergeCell ref="AG615:AH615"/>
    <mergeCell ref="C555:L555"/>
    <mergeCell ref="D444:AF444"/>
    <mergeCell ref="M554:P554"/>
    <mergeCell ref="AH519:AK519"/>
    <mergeCell ref="AH536:AK536"/>
    <mergeCell ref="AG448:AJ448"/>
    <mergeCell ref="AH528:AK528"/>
    <mergeCell ref="AH505:AK505"/>
    <mergeCell ref="AF629:AJ629"/>
    <mergeCell ref="M630:P630"/>
    <mergeCell ref="M631:P631"/>
    <mergeCell ref="M632:P632"/>
    <mergeCell ref="W555:Y555"/>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D1032:AE1034"/>
    <mergeCell ref="AJ1031:AQ1034"/>
    <mergeCell ref="AJ993:AQ999"/>
    <mergeCell ref="AJ1006:AQ1009"/>
    <mergeCell ref="AJ1010:AQ1011"/>
    <mergeCell ref="AJ985:AQ985"/>
    <mergeCell ref="I949:T949"/>
    <mergeCell ref="AA942:AF942"/>
    <mergeCell ref="AG1031:AH1031"/>
    <mergeCell ref="B754:AH755"/>
    <mergeCell ref="B742:F74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C634:L634"/>
    <mergeCell ref="M624:P626"/>
    <mergeCell ref="M627:P627"/>
    <mergeCell ref="M628:P628"/>
    <mergeCell ref="M629:P629"/>
    <mergeCell ref="T627:V627"/>
    <mergeCell ref="G612:R612"/>
    <mergeCell ref="M633:P633"/>
    <mergeCell ref="M634:P634"/>
    <mergeCell ref="Z605:AE605"/>
    <mergeCell ref="Z609:AK609"/>
    <mergeCell ref="P421:R421"/>
    <mergeCell ref="W631:Y631"/>
    <mergeCell ref="AF632:AJ632"/>
    <mergeCell ref="W560:Y560"/>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8:AI698"/>
    <mergeCell ref="AC714:AG717"/>
    <mergeCell ref="AC720:AG720"/>
    <mergeCell ref="X719:AB719"/>
    <mergeCell ref="AG673:AH673"/>
    <mergeCell ref="Z669:AK669"/>
    <mergeCell ref="CH655:CL655"/>
    <mergeCell ref="CH652:CL652"/>
    <mergeCell ref="CH653:CL653"/>
    <mergeCell ref="CH654:CL654"/>
    <mergeCell ref="CM652:CQ652"/>
    <mergeCell ref="CM653:CQ653"/>
    <mergeCell ref="BN653:BR653"/>
    <mergeCell ref="BN654:BR654"/>
    <mergeCell ref="BS650:BW650"/>
    <mergeCell ref="BX646:CB646"/>
    <mergeCell ref="BX632:CB632"/>
    <mergeCell ref="CX648:DB648"/>
    <mergeCell ref="BN639:BR639"/>
    <mergeCell ref="BN640:BR640"/>
    <mergeCell ref="CC649:CG649"/>
    <mergeCell ref="CH649:CL649"/>
    <mergeCell ref="BS648:BW648"/>
    <mergeCell ref="CC640:CG640"/>
    <mergeCell ref="BN649:BR649"/>
    <mergeCell ref="BN648:BR648"/>
    <mergeCell ref="BX649:CB649"/>
    <mergeCell ref="CH648:CL648"/>
    <mergeCell ref="CC648:CG648"/>
    <mergeCell ref="BS652:BW652"/>
    <mergeCell ref="CH651:CL651"/>
    <mergeCell ref="CM654:CQ654"/>
    <mergeCell ref="BN652:BR652"/>
    <mergeCell ref="BX651:CB651"/>
    <mergeCell ref="CM648:CQ648"/>
    <mergeCell ref="CC647:CG647"/>
    <mergeCell ref="CM646:CQ646"/>
    <mergeCell ref="CS646:CW646"/>
    <mergeCell ref="BS639:BW639"/>
    <mergeCell ref="BS646:BW646"/>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X652:DB652"/>
    <mergeCell ref="CS655:CW655"/>
    <mergeCell ref="DH652:DL652"/>
    <mergeCell ref="DM652:DQ652"/>
    <mergeCell ref="CS653:CW653"/>
    <mergeCell ref="CX653:DB653"/>
    <mergeCell ref="CC651:CG651"/>
    <mergeCell ref="BX650:CB650"/>
    <mergeCell ref="DC651:DG651"/>
    <mergeCell ref="BS651:BW651"/>
    <mergeCell ref="CS652:CW652"/>
    <mergeCell ref="CM655:CQ655"/>
    <mergeCell ref="BS654:BW654"/>
    <mergeCell ref="DH654:DL654"/>
    <mergeCell ref="DM654:DQ654"/>
    <mergeCell ref="DH655:DL655"/>
    <mergeCell ref="DM649:DQ649"/>
    <mergeCell ref="CS651:CW651"/>
    <mergeCell ref="BX653:CB653"/>
    <mergeCell ref="DM648:DQ648"/>
    <mergeCell ref="DM653:DQ653"/>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DM650:DQ650"/>
    <mergeCell ref="CX649:DB649"/>
    <mergeCell ref="CS645:CW645"/>
    <mergeCell ref="CX645:DB645"/>
    <mergeCell ref="DH646:DL646"/>
    <mergeCell ref="DM646:DQ646"/>
    <mergeCell ref="BS637:BW637"/>
    <mergeCell ref="BS638:BW638"/>
    <mergeCell ref="DR652:DV652"/>
    <mergeCell ref="DC649:DG649"/>
    <mergeCell ref="DM632:DQ632"/>
    <mergeCell ref="BX645:CB645"/>
    <mergeCell ref="CH640:CL640"/>
    <mergeCell ref="CM640:CQ640"/>
    <mergeCell ref="CM639:CQ639"/>
    <mergeCell ref="CH632:CL632"/>
    <mergeCell ref="CM631:CQ631"/>
    <mergeCell ref="DH630:DL630"/>
    <mergeCell ref="CH637:CL637"/>
    <mergeCell ref="CH641:CL641"/>
    <mergeCell ref="BX638:CB638"/>
    <mergeCell ref="BX637:CB637"/>
    <mergeCell ref="CH638:CL638"/>
    <mergeCell ref="CM638:CQ638"/>
    <mergeCell ref="CC630:CG630"/>
    <mergeCell ref="CH630:CL630"/>
    <mergeCell ref="DM631:DQ631"/>
    <mergeCell ref="DH631:DL631"/>
    <mergeCell ref="BX641:CB641"/>
    <mergeCell ref="CC641:CG641"/>
    <mergeCell ref="CC639:CG639"/>
    <mergeCell ref="CC638:CG638"/>
    <mergeCell ref="CM645:CQ645"/>
    <mergeCell ref="CH639:CL639"/>
    <mergeCell ref="CS632:CW632"/>
    <mergeCell ref="CX632:DB632"/>
    <mergeCell ref="CM632:CQ632"/>
    <mergeCell ref="DC645:DG645"/>
    <mergeCell ref="DC631:DG631"/>
    <mergeCell ref="CM628:CQ628"/>
    <mergeCell ref="DM618:DQ618"/>
    <mergeCell ref="DR618:DV618"/>
    <mergeCell ref="EH621:EL621"/>
    <mergeCell ref="DR619:DV619"/>
    <mergeCell ref="EM617:EQ617"/>
    <mergeCell ref="EC618:EG618"/>
    <mergeCell ref="EH618:EL618"/>
    <mergeCell ref="EM618:EQ618"/>
    <mergeCell ref="CH613:CL613"/>
    <mergeCell ref="CC623:CG623"/>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M616:CQ616"/>
    <mergeCell ref="EM619:EQ619"/>
    <mergeCell ref="CX619:DB619"/>
    <mergeCell ref="DC619:DG619"/>
    <mergeCell ref="DH619:DL619"/>
    <mergeCell ref="CH621:CL621"/>
    <mergeCell ref="EH614:EL614"/>
    <mergeCell ref="BG624:BH62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C624:CG624"/>
    <mergeCell ref="CX624:DB624"/>
    <mergeCell ref="CM621:CQ621"/>
    <mergeCell ref="CH622:CL622"/>
    <mergeCell ref="CM622:CQ622"/>
    <mergeCell ref="CH623:CL623"/>
    <mergeCell ref="CM633:CQ633"/>
    <mergeCell ref="CC632:CG632"/>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M617:DQ617"/>
    <mergeCell ref="CM624:CQ624"/>
    <mergeCell ref="CM620:CQ620"/>
    <mergeCell ref="DC632:DG632"/>
    <mergeCell ref="DH632:DL632"/>
    <mergeCell ref="CM619:CQ619"/>
    <mergeCell ref="CM630:CQ630"/>
    <mergeCell ref="DC624:DG624"/>
    <mergeCell ref="DH624:DL624"/>
    <mergeCell ref="DH626:DL626"/>
    <mergeCell ref="CS620:CW620"/>
    <mergeCell ref="CX620:DB620"/>
    <mergeCell ref="CC620:CG620"/>
    <mergeCell ref="CX630:DB630"/>
    <mergeCell ref="CS631:CW631"/>
    <mergeCell ref="CX631:DB631"/>
    <mergeCell ref="CH631:CL631"/>
    <mergeCell ref="DM624:DQ624"/>
    <mergeCell ref="CS628:CW628"/>
    <mergeCell ref="CX628:DB628"/>
    <mergeCell ref="DC628:DG628"/>
    <mergeCell ref="DH628:DL628"/>
    <mergeCell ref="DM628:DQ628"/>
    <mergeCell ref="BS631:BW631"/>
    <mergeCell ref="BX624:CB624"/>
    <mergeCell ref="CC628:CG628"/>
    <mergeCell ref="CC627:CG627"/>
    <mergeCell ref="DC626:DG626"/>
    <mergeCell ref="BK631:BL631"/>
    <mergeCell ref="AK629:AN629"/>
    <mergeCell ref="CM627:CQ627"/>
    <mergeCell ref="CH627:CL627"/>
    <mergeCell ref="CC626:CG626"/>
    <mergeCell ref="BS630:BW630"/>
    <mergeCell ref="BN631:BR631"/>
    <mergeCell ref="BN624:BR624"/>
    <mergeCell ref="BI624:BJ624"/>
    <mergeCell ref="CC629:CG629"/>
    <mergeCell ref="CH629:CL629"/>
    <mergeCell ref="CM629:CQ629"/>
    <mergeCell ref="CH626:CL626"/>
    <mergeCell ref="CM626:CQ626"/>
    <mergeCell ref="DC625:DG625"/>
    <mergeCell ref="DH625:DL625"/>
    <mergeCell ref="DM625:DQ62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N632:BR632"/>
    <mergeCell ref="BS624:BW624"/>
    <mergeCell ref="DM626:DQ626"/>
    <mergeCell ref="CS627:CW627"/>
    <mergeCell ref="CX627:DB627"/>
    <mergeCell ref="DC627:DG627"/>
    <mergeCell ref="DH627:DL627"/>
    <mergeCell ref="DM627:DQ627"/>
    <mergeCell ref="CH625:CL625"/>
    <mergeCell ref="CM625:CQ625"/>
    <mergeCell ref="CH624:CL624"/>
    <mergeCell ref="CH628:CL628"/>
    <mergeCell ref="DC630:DG630"/>
    <mergeCell ref="CS630:CW630"/>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CS648:CW648"/>
    <mergeCell ref="BX648:CB648"/>
    <mergeCell ref="CM650:CQ650"/>
    <mergeCell ref="CM647:CQ647"/>
    <mergeCell ref="BX647:CB647"/>
    <mergeCell ref="CH650:CL650"/>
    <mergeCell ref="CS647:CW647"/>
    <mergeCell ref="CX647:DB647"/>
    <mergeCell ref="DH648:DL648"/>
    <mergeCell ref="DC647:DG647"/>
    <mergeCell ref="DH650:DL650"/>
    <mergeCell ref="CM649:CQ649"/>
    <mergeCell ref="DH649:DL649"/>
    <mergeCell ref="DR649:DV649"/>
    <mergeCell ref="DX655:EB655"/>
    <mergeCell ref="EM649:EQ649"/>
    <mergeCell ref="EW642:FA642"/>
    <mergeCell ref="EW643:FA643"/>
    <mergeCell ref="DX644:EB644"/>
    <mergeCell ref="EC644:EG644"/>
    <mergeCell ref="EH644:EL644"/>
    <mergeCell ref="EM646:EQ646"/>
    <mergeCell ref="EM653:EQ653"/>
    <mergeCell ref="ER653:EV653"/>
    <mergeCell ref="EH649:EL649"/>
    <mergeCell ref="EH641:EL641"/>
    <mergeCell ref="EM641:EQ641"/>
    <mergeCell ref="EW656:FA656"/>
    <mergeCell ref="EW649:FA649"/>
    <mergeCell ref="EC656:EG656"/>
    <mergeCell ref="EH655:EL655"/>
    <mergeCell ref="EM655:EQ655"/>
    <mergeCell ref="ER642:EV642"/>
    <mergeCell ref="EW654:FA654"/>
    <mergeCell ref="DX647:EB647"/>
    <mergeCell ref="EC647:EG647"/>
    <mergeCell ref="EC642:EG642"/>
    <mergeCell ref="EH642:EL642"/>
    <mergeCell ref="EM642:EQ642"/>
    <mergeCell ref="DR647:DV647"/>
    <mergeCell ref="DR651:DV651"/>
    <mergeCell ref="CX655:DB655"/>
    <mergeCell ref="DC655:DG655"/>
    <mergeCell ref="DR655:DV655"/>
    <mergeCell ref="CM651:CQ651"/>
    <mergeCell ref="CX651:DB651"/>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EM667:EQ667"/>
    <mergeCell ref="ER667:EV667"/>
    <mergeCell ref="EW667:FA667"/>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EH652:EL652"/>
    <mergeCell ref="ER650:EV650"/>
    <mergeCell ref="ER655:EV655"/>
    <mergeCell ref="EH648:EL648"/>
    <mergeCell ref="EH651:EL651"/>
    <mergeCell ref="EH650:EL650"/>
    <mergeCell ref="DX657:EB657"/>
    <mergeCell ref="EM650:EQ650"/>
    <mergeCell ref="DX653:EB653"/>
    <mergeCell ref="EW652:FA652"/>
    <mergeCell ref="EH656:EL656"/>
    <mergeCell ref="EM656:EQ656"/>
    <mergeCell ref="DX656:EB656"/>
    <mergeCell ref="EH637:EL637"/>
    <mergeCell ref="ER645:EV645"/>
    <mergeCell ref="ER641:EV641"/>
    <mergeCell ref="EC621:EG621"/>
    <mergeCell ref="EW619:FA619"/>
    <mergeCell ref="EC630:EG630"/>
    <mergeCell ref="EH630:EL630"/>
    <mergeCell ref="EW647:FA647"/>
    <mergeCell ref="ER659:EV659"/>
    <mergeCell ref="EW659:FA659"/>
    <mergeCell ref="DX660:EB660"/>
    <mergeCell ref="EC660:EG660"/>
    <mergeCell ref="EH660:EL660"/>
    <mergeCell ref="EM660:EQ660"/>
    <mergeCell ref="DX620:EB620"/>
    <mergeCell ref="EC620:EG620"/>
    <mergeCell ref="EH620:EL620"/>
    <mergeCell ref="EM620:EQ620"/>
    <mergeCell ref="ER620:EV620"/>
    <mergeCell ref="EW620:FA620"/>
    <mergeCell ref="DX621:EB621"/>
    <mergeCell ref="DX632:EB632"/>
    <mergeCell ref="EC632:EG632"/>
    <mergeCell ref="EM621:EQ621"/>
    <mergeCell ref="EW621:FA621"/>
    <mergeCell ref="EW622:FA622"/>
    <mergeCell ref="EW623:FA623"/>
    <mergeCell ref="DX624:EB624"/>
    <mergeCell ref="EW625:FA625"/>
    <mergeCell ref="DX626:EB626"/>
    <mergeCell ref="EC626:EG626"/>
    <mergeCell ref="EH626:EL626"/>
    <mergeCell ref="EM626:EQ626"/>
    <mergeCell ref="ER626:EV626"/>
    <mergeCell ref="EC657:EG657"/>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DX609:EB609"/>
    <mergeCell ref="DX619:EB619"/>
    <mergeCell ref="EC619:EG619"/>
    <mergeCell ref="EC624:EG624"/>
    <mergeCell ref="EH624:EL624"/>
    <mergeCell ref="EM624:EQ624"/>
    <mergeCell ref="DX618:EB618"/>
    <mergeCell ref="ER618:EV618"/>
    <mergeCell ref="ER617:EV617"/>
    <mergeCell ref="EW617:FA617"/>
    <mergeCell ref="DX615:EB615"/>
    <mergeCell ref="EC615:EG615"/>
    <mergeCell ref="EH615:EL615"/>
    <mergeCell ref="EM612:EQ612"/>
    <mergeCell ref="DX617:EB617"/>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W614:FA614"/>
    <mergeCell ref="ER616:EV616"/>
    <mergeCell ref="EC612:EG612"/>
    <mergeCell ref="EH612:EL612"/>
    <mergeCell ref="EW612:FA612"/>
    <mergeCell ref="DX612:EB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EC601:EG601"/>
    <mergeCell ref="EH601:EL601"/>
    <mergeCell ref="EM601:EQ601"/>
    <mergeCell ref="ER601:EV601"/>
    <mergeCell ref="EW601:FA601"/>
    <mergeCell ref="F935:T935"/>
    <mergeCell ref="U935:Z935"/>
    <mergeCell ref="AA966:AG966"/>
    <mergeCell ref="AA972:AG972"/>
    <mergeCell ref="AE961:AK961"/>
    <mergeCell ref="M960:S960"/>
    <mergeCell ref="T972:Z972"/>
    <mergeCell ref="I946:T946"/>
    <mergeCell ref="D999:AE999"/>
    <mergeCell ref="AJ986:AQ986"/>
    <mergeCell ref="AJ987:AQ987"/>
    <mergeCell ref="DX599:EB599"/>
    <mergeCell ref="EC599:EG599"/>
    <mergeCell ref="EH599:EL599"/>
    <mergeCell ref="EM599:EQ599"/>
    <mergeCell ref="ER599:EV599"/>
    <mergeCell ref="D1021:AE1022"/>
    <mergeCell ref="ER614:EV614"/>
    <mergeCell ref="ER624:EV624"/>
    <mergeCell ref="DX645:EB645"/>
    <mergeCell ref="ER630:EV630"/>
    <mergeCell ref="DX631:EB631"/>
    <mergeCell ref="EC631:EG631"/>
    <mergeCell ref="EH631:EL631"/>
    <mergeCell ref="EM631:EQ631"/>
    <mergeCell ref="ER631:EV631"/>
    <mergeCell ref="DX630:EB630"/>
    <mergeCell ref="DX643:EB643"/>
    <mergeCell ref="EC649:EG649"/>
    <mergeCell ref="ER661:EV661"/>
    <mergeCell ref="ER662:EV662"/>
    <mergeCell ref="EH653:EL653"/>
    <mergeCell ref="AA928:AF928"/>
    <mergeCell ref="U929:Z929"/>
    <mergeCell ref="AA929:AF929"/>
    <mergeCell ref="U930:Z930"/>
    <mergeCell ref="U939:Z939"/>
    <mergeCell ref="D1048:AE1048"/>
    <mergeCell ref="D1045:AE1046"/>
    <mergeCell ref="U949:Z949"/>
    <mergeCell ref="AA944:AF944"/>
    <mergeCell ref="U943:Z943"/>
    <mergeCell ref="AA943:AF943"/>
    <mergeCell ref="D1000:AE1000"/>
    <mergeCell ref="D1001:AE1005"/>
    <mergeCell ref="D1010:AE1010"/>
    <mergeCell ref="D1011:AE1011"/>
    <mergeCell ref="AF1026:AI1027"/>
    <mergeCell ref="D1016:AE1018"/>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AJ1028:AQ1030"/>
    <mergeCell ref="D1031:AE1031"/>
    <mergeCell ref="B992:AE992"/>
    <mergeCell ref="D1044:AE1044"/>
    <mergeCell ref="D1013:AE1014"/>
    <mergeCell ref="AG1044:AH1044"/>
    <mergeCell ref="D1025:AE1027"/>
    <mergeCell ref="AA974:AG974"/>
    <mergeCell ref="J1023:AE1023"/>
    <mergeCell ref="T740:W740"/>
    <mergeCell ref="G741:J741"/>
    <mergeCell ref="T793:W793"/>
    <mergeCell ref="G739:J739"/>
    <mergeCell ref="T745:W745"/>
    <mergeCell ref="B739:F739"/>
    <mergeCell ref="K735:N735"/>
    <mergeCell ref="K736:N736"/>
    <mergeCell ref="B746:F746"/>
    <mergeCell ref="T749:W749"/>
    <mergeCell ref="K750:N750"/>
    <mergeCell ref="O750:S750"/>
    <mergeCell ref="T742:W742"/>
    <mergeCell ref="O735:S735"/>
    <mergeCell ref="T791:W791"/>
    <mergeCell ref="T787:W787"/>
    <mergeCell ref="T788:W788"/>
    <mergeCell ref="T789:W789"/>
    <mergeCell ref="K746:N746"/>
    <mergeCell ref="O746:S746"/>
    <mergeCell ref="T746:W746"/>
    <mergeCell ref="K747:N747"/>
    <mergeCell ref="G738:J738"/>
    <mergeCell ref="G737:J737"/>
    <mergeCell ref="B745:F745"/>
    <mergeCell ref="B741:F741"/>
    <mergeCell ref="T776:W776"/>
    <mergeCell ref="B749:F749"/>
    <mergeCell ref="B750:F750"/>
    <mergeCell ref="O783:S786"/>
    <mergeCell ref="B520:H542"/>
    <mergeCell ref="M565:P565"/>
    <mergeCell ref="Q637:S637"/>
    <mergeCell ref="W630:Y630"/>
    <mergeCell ref="C637:L637"/>
    <mergeCell ref="C638:L638"/>
    <mergeCell ref="AG649:AH649"/>
    <mergeCell ref="N615:O615"/>
    <mergeCell ref="G601:R601"/>
    <mergeCell ref="H590:R590"/>
    <mergeCell ref="G587:R587"/>
    <mergeCell ref="G578:R578"/>
    <mergeCell ref="AE563:AH563"/>
    <mergeCell ref="C562:L562"/>
    <mergeCell ref="Q560:S560"/>
    <mergeCell ref="Q561:S561"/>
    <mergeCell ref="K730:N730"/>
    <mergeCell ref="W627:Y627"/>
    <mergeCell ref="Z624:AB626"/>
    <mergeCell ref="A617:AT618"/>
    <mergeCell ref="B624:L626"/>
    <mergeCell ref="Q636:S636"/>
    <mergeCell ref="W628:Y628"/>
    <mergeCell ref="AA614:AK614"/>
    <mergeCell ref="Z629:AB629"/>
    <mergeCell ref="W634:Y634"/>
    <mergeCell ref="AC632:AE632"/>
    <mergeCell ref="T624:V626"/>
    <mergeCell ref="T634:V634"/>
    <mergeCell ref="AO634:AS634"/>
    <mergeCell ref="AF635:AJ635"/>
    <mergeCell ref="B740:F740"/>
    <mergeCell ref="O739:S739"/>
    <mergeCell ref="Z638:AB638"/>
    <mergeCell ref="AF636:AJ636"/>
    <mergeCell ref="AF637:AJ637"/>
    <mergeCell ref="AF638:AJ638"/>
    <mergeCell ref="AK624:AN626"/>
    <mergeCell ref="AK627:AN627"/>
    <mergeCell ref="AC636:AE636"/>
    <mergeCell ref="AC637:AE637"/>
    <mergeCell ref="AC638:AE638"/>
    <mergeCell ref="G654:R654"/>
    <mergeCell ref="H656:R656"/>
    <mergeCell ref="P647:R647"/>
    <mergeCell ref="AI647:AK647"/>
    <mergeCell ref="AO624:AS626"/>
    <mergeCell ref="G655:L655"/>
    <mergeCell ref="W638:Y638"/>
    <mergeCell ref="AO633:AS633"/>
    <mergeCell ref="Z644:AK644"/>
    <mergeCell ref="T635:V635"/>
    <mergeCell ref="T636:V636"/>
    <mergeCell ref="T637:V637"/>
    <mergeCell ref="T629:V629"/>
    <mergeCell ref="C636:L636"/>
    <mergeCell ref="AC734:AG734"/>
    <mergeCell ref="AC731:AG731"/>
    <mergeCell ref="AC732:AG732"/>
    <mergeCell ref="G730:J730"/>
    <mergeCell ref="X730:AB730"/>
    <mergeCell ref="X731:AB731"/>
    <mergeCell ref="AO638:AS638"/>
    <mergeCell ref="A83:AT84"/>
    <mergeCell ref="G610:R610"/>
    <mergeCell ref="Z578:AK578"/>
    <mergeCell ref="Z603:AK603"/>
    <mergeCell ref="P613:R613"/>
    <mergeCell ref="G613:L613"/>
    <mergeCell ref="G609:R609"/>
    <mergeCell ref="R411:S411"/>
    <mergeCell ref="Q389:U389"/>
    <mergeCell ref="AJ357:AK357"/>
    <mergeCell ref="G572:L572"/>
    <mergeCell ref="Z581:AE581"/>
    <mergeCell ref="Z586:AK586"/>
    <mergeCell ref="T561:V561"/>
    <mergeCell ref="AG379:AH379"/>
    <mergeCell ref="AM558:AS558"/>
    <mergeCell ref="W629:Y629"/>
    <mergeCell ref="G577:R577"/>
    <mergeCell ref="AI331:AK331"/>
    <mergeCell ref="H331:M331"/>
    <mergeCell ref="W565:Y565"/>
    <mergeCell ref="H341:R341"/>
    <mergeCell ref="W465:Y465"/>
    <mergeCell ref="P345:AE345"/>
    <mergeCell ref="C559:L559"/>
    <mergeCell ref="M559:P559"/>
    <mergeCell ref="AI389:AJ389"/>
    <mergeCell ref="P347:Z347"/>
    <mergeCell ref="H337:R337"/>
    <mergeCell ref="J386:U386"/>
    <mergeCell ref="C563:L563"/>
    <mergeCell ref="W554:Y554"/>
    <mergeCell ref="D1091:AK1093"/>
    <mergeCell ref="G686:R686"/>
    <mergeCell ref="N689:O689"/>
    <mergeCell ref="G734:J734"/>
    <mergeCell ref="AJ988:AQ988"/>
    <mergeCell ref="O737:S737"/>
    <mergeCell ref="O738:S738"/>
    <mergeCell ref="Z687:AE687"/>
    <mergeCell ref="AH718:AJ718"/>
    <mergeCell ref="T721:W721"/>
    <mergeCell ref="AC718:AG718"/>
    <mergeCell ref="M959:S959"/>
    <mergeCell ref="Z900:AE900"/>
    <mergeCell ref="X741:AB741"/>
    <mergeCell ref="T727:W727"/>
    <mergeCell ref="U826:X826"/>
    <mergeCell ref="AK714:AO717"/>
    <mergeCell ref="AK718:AO718"/>
    <mergeCell ref="AK719:AO719"/>
    <mergeCell ref="AC790:AG790"/>
    <mergeCell ref="Y826:AB826"/>
    <mergeCell ref="C830:H830"/>
    <mergeCell ref="K737:N737"/>
    <mergeCell ref="F831:L831"/>
    <mergeCell ref="AH739:AJ739"/>
    <mergeCell ref="D1052:AI1052"/>
    <mergeCell ref="AA925:AF925"/>
    <mergeCell ref="U926:Z926"/>
    <mergeCell ref="AA926:AF926"/>
    <mergeCell ref="U936:Z936"/>
    <mergeCell ref="AA936:AF936"/>
    <mergeCell ref="AG1035:AH1035"/>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AH740:AJ740"/>
    <mergeCell ref="M831:P831"/>
    <mergeCell ref="B734:F734"/>
    <mergeCell ref="K727:N727"/>
    <mergeCell ref="G753:J753"/>
    <mergeCell ref="AC828:AF828"/>
    <mergeCell ref="AG827:AJ827"/>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Q831:T831"/>
    <mergeCell ref="X740:AB740"/>
    <mergeCell ref="C828:H828"/>
    <mergeCell ref="M828:P828"/>
    <mergeCell ref="C827:H827"/>
    <mergeCell ref="K743:N743"/>
    <mergeCell ref="AG826:AJ826"/>
    <mergeCell ref="AG825:AJ825"/>
    <mergeCell ref="W842:AC842"/>
    <mergeCell ref="W847:AC847"/>
    <mergeCell ref="O773:S773"/>
    <mergeCell ref="O733:S733"/>
    <mergeCell ref="AC749:AG749"/>
    <mergeCell ref="BG975:BL975"/>
    <mergeCell ref="AA949:AF949"/>
    <mergeCell ref="Y830:AB830"/>
    <mergeCell ref="U921:Z921"/>
    <mergeCell ref="AA923:AF923"/>
    <mergeCell ref="M968:S968"/>
    <mergeCell ref="M846:V846"/>
    <mergeCell ref="W843:AC843"/>
    <mergeCell ref="J849:V849"/>
    <mergeCell ref="AC893:AH893"/>
    <mergeCell ref="BG848:BL848"/>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U941:Z941"/>
    <mergeCell ref="AA941:AF941"/>
    <mergeCell ref="AZ851:BA851"/>
    <mergeCell ref="U925:Z925"/>
    <mergeCell ref="U831:X831"/>
    <mergeCell ref="W878:AC878"/>
    <mergeCell ref="F915:T916"/>
    <mergeCell ref="D1098:AK1102"/>
    <mergeCell ref="D1103:AK1105"/>
    <mergeCell ref="X726:AB726"/>
    <mergeCell ref="AH723:AJ723"/>
    <mergeCell ref="T744:W744"/>
    <mergeCell ref="K745:N745"/>
    <mergeCell ref="O745:S745"/>
    <mergeCell ref="AH734:AJ734"/>
    <mergeCell ref="AH729:AJ729"/>
    <mergeCell ref="O790:S790"/>
    <mergeCell ref="O731:S731"/>
    <mergeCell ref="X737:AB737"/>
    <mergeCell ref="T736:W736"/>
    <mergeCell ref="O732:S732"/>
    <mergeCell ref="O741:S741"/>
    <mergeCell ref="AH732:AJ732"/>
    <mergeCell ref="AC730:AG730"/>
    <mergeCell ref="AH731:AJ731"/>
    <mergeCell ref="AJ1052:AQ1052"/>
    <mergeCell ref="AA968:AG968"/>
    <mergeCell ref="T971:Z971"/>
    <mergeCell ref="AA940:AF940"/>
    <mergeCell ref="U937:Z937"/>
    <mergeCell ref="U927:Z927"/>
    <mergeCell ref="U947:Z947"/>
    <mergeCell ref="U934:Z934"/>
    <mergeCell ref="AA922:AF922"/>
    <mergeCell ref="W849:AC849"/>
    <mergeCell ref="M877:V877"/>
    <mergeCell ref="W869:AC869"/>
    <mergeCell ref="W876:AC876"/>
    <mergeCell ref="M861:V861"/>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Z653:AK653"/>
    <mergeCell ref="Z652:AK652"/>
    <mergeCell ref="Y831:AB831"/>
    <mergeCell ref="AC736:AG736"/>
    <mergeCell ref="AC750:AG750"/>
    <mergeCell ref="AC751:AG751"/>
    <mergeCell ref="X751:AB751"/>
    <mergeCell ref="AC739:AG739"/>
    <mergeCell ref="AC825:AF825"/>
    <mergeCell ref="X789:AB789"/>
    <mergeCell ref="AC738:AG738"/>
    <mergeCell ref="Y827:AB827"/>
    <mergeCell ref="X725:AB725"/>
    <mergeCell ref="AH753:AJ753"/>
    <mergeCell ref="AK745:AO745"/>
    <mergeCell ref="BS647:BW647"/>
    <mergeCell ref="BN645:BR645"/>
    <mergeCell ref="BN646:BR646"/>
    <mergeCell ref="AA664:AK664"/>
    <mergeCell ref="CB796:CH796"/>
    <mergeCell ref="BN796:BO796"/>
    <mergeCell ref="AH714:AJ717"/>
    <mergeCell ref="AH725:AJ725"/>
    <mergeCell ref="Z647:AE647"/>
    <mergeCell ref="AC742:AG742"/>
    <mergeCell ref="AC743:AG743"/>
    <mergeCell ref="C763:AR765"/>
    <mergeCell ref="C766:AR768"/>
    <mergeCell ref="K749:N749"/>
    <mergeCell ref="X752:AB752"/>
    <mergeCell ref="B751:F751"/>
    <mergeCell ref="O756:R756"/>
    <mergeCell ref="AG756:AJ756"/>
    <mergeCell ref="T752:W752"/>
    <mergeCell ref="AH752:AJ752"/>
    <mergeCell ref="X783:AB786"/>
    <mergeCell ref="X787:AB787"/>
    <mergeCell ref="X796:AB796"/>
    <mergeCell ref="O749:S749"/>
    <mergeCell ref="Z651:AK651"/>
    <mergeCell ref="AK740:AO740"/>
    <mergeCell ref="AK723:AO723"/>
    <mergeCell ref="Y829:AB829"/>
    <mergeCell ref="AC829:AF829"/>
    <mergeCell ref="C837:AJ837"/>
    <mergeCell ref="U830:X830"/>
    <mergeCell ref="J796:N796"/>
    <mergeCell ref="J777:N777"/>
    <mergeCell ref="G683:R683"/>
    <mergeCell ref="AI671:AK671"/>
    <mergeCell ref="AE695:AI695"/>
    <mergeCell ref="N681:O681"/>
    <mergeCell ref="CS619:CW619"/>
    <mergeCell ref="T738:W738"/>
    <mergeCell ref="O793:S793"/>
    <mergeCell ref="K740:N740"/>
    <mergeCell ref="K734:N734"/>
    <mergeCell ref="M826:P826"/>
    <mergeCell ref="G729:J729"/>
    <mergeCell ref="T775:W775"/>
    <mergeCell ref="AH741:AJ741"/>
    <mergeCell ref="AK741:AO741"/>
    <mergeCell ref="AK752:AO752"/>
    <mergeCell ref="AH737:AJ737"/>
    <mergeCell ref="AH738:AJ738"/>
    <mergeCell ref="Z818:AE818"/>
    <mergeCell ref="AC826:AF826"/>
    <mergeCell ref="X790:AB790"/>
    <mergeCell ref="BI619:BJ619"/>
    <mergeCell ref="BE622:BF622"/>
    <mergeCell ref="AK729:AO729"/>
    <mergeCell ref="Z635:AB635"/>
    <mergeCell ref="AO632:AS632"/>
    <mergeCell ref="H648:R648"/>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H612:DL612"/>
    <mergeCell ref="DR612:DV612"/>
    <mergeCell ref="DH614:DL614"/>
    <mergeCell ref="DM614:DQ614"/>
    <mergeCell ref="CX614:DB614"/>
    <mergeCell ref="DH605:DL605"/>
    <mergeCell ref="DC596:DG596"/>
    <mergeCell ref="CX598:DB598"/>
    <mergeCell ref="DM603:DQ603"/>
    <mergeCell ref="DM605:DQ605"/>
    <mergeCell ref="DC599:DG599"/>
    <mergeCell ref="DH599:DL599"/>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DH610:DL610"/>
    <mergeCell ref="DH609:DL609"/>
    <mergeCell ref="DR597:DV597"/>
    <mergeCell ref="DR603:DV603"/>
    <mergeCell ref="DR605:DV605"/>
    <mergeCell ref="DR601:DV601"/>
    <mergeCell ref="DR599:DV599"/>
    <mergeCell ref="DR600:DV600"/>
    <mergeCell ref="CX606:DB606"/>
    <mergeCell ref="DC606:DG606"/>
    <mergeCell ref="DC602:DG602"/>
    <mergeCell ref="CS605:CW605"/>
    <mergeCell ref="CX605:DB605"/>
    <mergeCell ref="DC605:DG605"/>
    <mergeCell ref="CX610:DB610"/>
    <mergeCell ref="DC610:DG610"/>
    <mergeCell ref="CX609:DB609"/>
    <mergeCell ref="DC609:DG609"/>
    <mergeCell ref="CM608:CQ608"/>
    <mergeCell ref="CM609:CQ609"/>
    <mergeCell ref="CM610:CQ610"/>
    <mergeCell ref="DH602:DL602"/>
    <mergeCell ref="DM604:DQ604"/>
    <mergeCell ref="DR604:DV604"/>
    <mergeCell ref="CS603:CW603"/>
    <mergeCell ref="CX603:DB603"/>
    <mergeCell ref="DR602:DV602"/>
    <mergeCell ref="DC604:DG604"/>
    <mergeCell ref="DH604:DL604"/>
    <mergeCell ref="DM609:DQ609"/>
    <mergeCell ref="DR609:DV609"/>
    <mergeCell ref="CX607:DB607"/>
    <mergeCell ref="DC607:DG607"/>
    <mergeCell ref="DH607:DL607"/>
    <mergeCell ref="DM606:DQ606"/>
    <mergeCell ref="CS604:CW604"/>
    <mergeCell ref="CX604:DB604"/>
    <mergeCell ref="CS602:CW602"/>
    <mergeCell ref="CX602:DB602"/>
    <mergeCell ref="DC603:DG603"/>
    <mergeCell ref="CS607:CW607"/>
    <mergeCell ref="CS601:CW601"/>
    <mergeCell ref="CM604:CQ604"/>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BK602:BL602"/>
    <mergeCell ref="DM597:DQ597"/>
    <mergeCell ref="DM600:DQ600"/>
    <mergeCell ref="CS599:CW599"/>
    <mergeCell ref="CS597:CW597"/>
    <mergeCell ref="CS600:CW600"/>
    <mergeCell ref="DC600:DG600"/>
    <mergeCell ref="DH600:DL600"/>
    <mergeCell ref="CX600:DB600"/>
    <mergeCell ref="CX601:DB601"/>
    <mergeCell ref="CS596:CW596"/>
    <mergeCell ref="CS598:CW598"/>
    <mergeCell ref="BS601:BW601"/>
    <mergeCell ref="BX601:CB601"/>
    <mergeCell ref="BS600:BW600"/>
    <mergeCell ref="DC598:DG598"/>
    <mergeCell ref="CX599:DB599"/>
    <mergeCell ref="DH598:DL598"/>
    <mergeCell ref="DC601:DG601"/>
    <mergeCell ref="DH603:DL603"/>
    <mergeCell ref="DM602:DQ602"/>
    <mergeCell ref="CX597:DB597"/>
    <mergeCell ref="DC597:DG597"/>
    <mergeCell ref="DH597:DL597"/>
    <mergeCell ref="CC596:CG596"/>
    <mergeCell ref="CX596:DB596"/>
    <mergeCell ref="BN597:BR597"/>
    <mergeCell ref="CM600:CQ600"/>
    <mergeCell ref="Q556:S556"/>
    <mergeCell ref="AC538:AF538"/>
    <mergeCell ref="Z572:AE572"/>
    <mergeCell ref="B566:AL566"/>
    <mergeCell ref="Z558:AD558"/>
    <mergeCell ref="G595:R595"/>
    <mergeCell ref="G596:R596"/>
    <mergeCell ref="Z595:AK595"/>
    <mergeCell ref="Z579:AK579"/>
    <mergeCell ref="N372:Q372"/>
    <mergeCell ref="P424:Q424"/>
    <mergeCell ref="Q492:AK492"/>
    <mergeCell ref="AF418:AH418"/>
    <mergeCell ref="Z434:AA434"/>
    <mergeCell ref="Z565:AD565"/>
    <mergeCell ref="Z594:AK594"/>
    <mergeCell ref="AG390:AJ390"/>
    <mergeCell ref="Q391:U391"/>
    <mergeCell ref="AD377:AE377"/>
    <mergeCell ref="D438:AF438"/>
    <mergeCell ref="W563:Y563"/>
    <mergeCell ref="T559:V559"/>
    <mergeCell ref="Q489:R490"/>
    <mergeCell ref="Q488:AK488"/>
    <mergeCell ref="Q493:AK493"/>
    <mergeCell ref="AC502:AF502"/>
    <mergeCell ref="AI558:AL558"/>
    <mergeCell ref="C558:L558"/>
    <mergeCell ref="AI556:AL556"/>
    <mergeCell ref="T558:V558"/>
    <mergeCell ref="W561:Y561"/>
    <mergeCell ref="BE604:BF604"/>
    <mergeCell ref="BE605:BF605"/>
    <mergeCell ref="BE608:BF608"/>
    <mergeCell ref="BE607:BF607"/>
    <mergeCell ref="Z604:AK604"/>
    <mergeCell ref="Z602:AK602"/>
    <mergeCell ref="G568:R568"/>
    <mergeCell ref="M355:N355"/>
    <mergeCell ref="D439:AF439"/>
    <mergeCell ref="CM596:CQ596"/>
    <mergeCell ref="CM597:CQ597"/>
    <mergeCell ref="CM598:CQ598"/>
    <mergeCell ref="CM599:CQ599"/>
    <mergeCell ref="Z597:AE597"/>
    <mergeCell ref="BX600:CB600"/>
    <mergeCell ref="BG602:BH602"/>
    <mergeCell ref="Q390:U390"/>
    <mergeCell ref="E368:AH369"/>
    <mergeCell ref="Q365:AG365"/>
    <mergeCell ref="P418:R418"/>
    <mergeCell ref="S392:U392"/>
    <mergeCell ref="G589:L589"/>
    <mergeCell ref="G581:L581"/>
    <mergeCell ref="P572:R572"/>
    <mergeCell ref="AM563:AS563"/>
    <mergeCell ref="AM561:AS561"/>
    <mergeCell ref="AM559:AS559"/>
    <mergeCell ref="T565:V565"/>
    <mergeCell ref="C560:L560"/>
    <mergeCell ref="AC507:AF507"/>
    <mergeCell ref="D470:V470"/>
    <mergeCell ref="M358:N358"/>
    <mergeCell ref="S489:AK490"/>
    <mergeCell ref="AC531:AF531"/>
    <mergeCell ref="AC528:AF528"/>
    <mergeCell ref="D473:V473"/>
    <mergeCell ref="AC504:AF504"/>
    <mergeCell ref="AH542:AK542"/>
    <mergeCell ref="AC542:AF542"/>
    <mergeCell ref="BK599:BL599"/>
    <mergeCell ref="BK598:BL598"/>
    <mergeCell ref="AM557:AS557"/>
    <mergeCell ref="AC524:AF524"/>
    <mergeCell ref="AH516:AK516"/>
    <mergeCell ref="AH524:AK524"/>
    <mergeCell ref="AH525:AK525"/>
    <mergeCell ref="AH529:AK529"/>
    <mergeCell ref="AE554:AH554"/>
    <mergeCell ref="Z556:AD556"/>
    <mergeCell ref="AI555:AL555"/>
    <mergeCell ref="AM566:AS566"/>
    <mergeCell ref="Q564:S564"/>
    <mergeCell ref="N575:O575"/>
    <mergeCell ref="G569:R569"/>
    <mergeCell ref="H573:R573"/>
    <mergeCell ref="AA573:AK573"/>
    <mergeCell ref="AC541:AF541"/>
    <mergeCell ref="B489:P490"/>
    <mergeCell ref="AC506:AF506"/>
    <mergeCell ref="AI561:AL561"/>
    <mergeCell ref="AE560:AH560"/>
    <mergeCell ref="T556:V556"/>
    <mergeCell ref="AC520:AF520"/>
    <mergeCell ref="AC527:AF527"/>
    <mergeCell ref="Z610:AK610"/>
    <mergeCell ref="Z613:AE613"/>
    <mergeCell ref="C564:L564"/>
    <mergeCell ref="M564:P564"/>
    <mergeCell ref="C565:L565"/>
    <mergeCell ref="AM565:AS565"/>
    <mergeCell ref="AI605:AK605"/>
    <mergeCell ref="T564:V564"/>
    <mergeCell ref="Z570:AK570"/>
    <mergeCell ref="AG583:AH583"/>
    <mergeCell ref="AA606:AK606"/>
    <mergeCell ref="G586:R586"/>
    <mergeCell ref="G603:R603"/>
    <mergeCell ref="N607:O607"/>
    <mergeCell ref="P597:R597"/>
    <mergeCell ref="G602:R602"/>
    <mergeCell ref="N599:O599"/>
    <mergeCell ref="AA598:AK598"/>
    <mergeCell ref="Z587:AK587"/>
    <mergeCell ref="M574:R574"/>
    <mergeCell ref="G605:L605"/>
    <mergeCell ref="Z593:AK593"/>
    <mergeCell ref="Q565:S565"/>
    <mergeCell ref="G580:R580"/>
    <mergeCell ref="G611:R611"/>
    <mergeCell ref="H606:R606"/>
    <mergeCell ref="BE611:BF611"/>
    <mergeCell ref="BN613:BR613"/>
    <mergeCell ref="BX611:CB611"/>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I623:BJ623"/>
    <mergeCell ref="BG620:BH620"/>
    <mergeCell ref="BE616:BF616"/>
    <mergeCell ref="BG607:BH607"/>
    <mergeCell ref="BG605:BH605"/>
    <mergeCell ref="BI605:BJ605"/>
    <mergeCell ref="BK622:BL622"/>
    <mergeCell ref="BI615:BJ615"/>
    <mergeCell ref="BG611:BH611"/>
    <mergeCell ref="Z645:AK645"/>
    <mergeCell ref="G643:R643"/>
    <mergeCell ref="BK632:BL632"/>
    <mergeCell ref="BE631:BF631"/>
    <mergeCell ref="AC633:AE633"/>
    <mergeCell ref="AC634:AE634"/>
    <mergeCell ref="AC635:AE635"/>
    <mergeCell ref="BG617:BH617"/>
    <mergeCell ref="BS615:BW615"/>
    <mergeCell ref="BN616:BR616"/>
    <mergeCell ref="BE620:BF620"/>
    <mergeCell ref="BE617:BF617"/>
    <mergeCell ref="BE621:BF621"/>
    <mergeCell ref="BE618:BF618"/>
    <mergeCell ref="BE619:BF619"/>
    <mergeCell ref="BI618:BJ618"/>
    <mergeCell ref="BK618:BL618"/>
    <mergeCell ref="BG616:BH616"/>
    <mergeCell ref="BE624:BF624"/>
    <mergeCell ref="BI616:BJ616"/>
    <mergeCell ref="Z636:AB636"/>
    <mergeCell ref="Z637:AB637"/>
    <mergeCell ref="AF627:AJ627"/>
    <mergeCell ref="BN627:BR627"/>
    <mergeCell ref="BK623:BL623"/>
    <mergeCell ref="BN630:BR630"/>
    <mergeCell ref="BK630:BL630"/>
    <mergeCell ref="BG619:BH619"/>
    <mergeCell ref="BE615:BF615"/>
    <mergeCell ref="BG621:BH621"/>
    <mergeCell ref="BI621:BJ621"/>
    <mergeCell ref="BK621:BL621"/>
    <mergeCell ref="BX623:CB623"/>
    <mergeCell ref="BX619:CB619"/>
    <mergeCell ref="BX615:CB615"/>
    <mergeCell ref="BX621:CB621"/>
    <mergeCell ref="CC621:CG621"/>
    <mergeCell ref="BX622:CB622"/>
    <mergeCell ref="CC622:CG622"/>
    <mergeCell ref="BX625:CB625"/>
    <mergeCell ref="AC628:AE628"/>
    <mergeCell ref="C629:L629"/>
    <mergeCell ref="C630:L630"/>
    <mergeCell ref="C631:L631"/>
    <mergeCell ref="C632:L632"/>
    <mergeCell ref="Z628:AB628"/>
    <mergeCell ref="BK615:BL615"/>
    <mergeCell ref="BN615:BR615"/>
    <mergeCell ref="BK616:BL616"/>
    <mergeCell ref="BS616:BW616"/>
    <mergeCell ref="BI625:BJ625"/>
    <mergeCell ref="BK625:BL625"/>
    <mergeCell ref="BS620:BW620"/>
    <mergeCell ref="CC615:CG615"/>
    <mergeCell ref="BE614:BF614"/>
    <mergeCell ref="BE613:BF613"/>
    <mergeCell ref="BN618:BR618"/>
    <mergeCell ref="BK617:BL617"/>
    <mergeCell ref="BK626:BL626"/>
    <mergeCell ref="BN621:BR621"/>
    <mergeCell ref="T638:V638"/>
    <mergeCell ref="Q624:S626"/>
    <mergeCell ref="BS641:BW641"/>
    <mergeCell ref="BS632:BW632"/>
    <mergeCell ref="AK628:AN628"/>
    <mergeCell ref="AK638:AN638"/>
    <mergeCell ref="AF633:AJ633"/>
    <mergeCell ref="AC629:AE629"/>
    <mergeCell ref="BG627:BH627"/>
    <mergeCell ref="BI627:BJ627"/>
    <mergeCell ref="BK627:BL627"/>
    <mergeCell ref="BE628:BF628"/>
    <mergeCell ref="AO641:AS641"/>
    <mergeCell ref="BI617:BJ617"/>
    <mergeCell ref="BN617:BR617"/>
    <mergeCell ref="BN622:BR622"/>
    <mergeCell ref="BS622:BW622"/>
    <mergeCell ref="BS625:BW625"/>
    <mergeCell ref="BG630:BH630"/>
    <mergeCell ref="BN614:BR614"/>
    <mergeCell ref="BK619:BL619"/>
    <mergeCell ref="BG614:BH614"/>
    <mergeCell ref="BG613:BH613"/>
    <mergeCell ref="BG622:BH622"/>
    <mergeCell ref="BI622:BJ622"/>
    <mergeCell ref="BI620:BJ620"/>
    <mergeCell ref="G644:R644"/>
    <mergeCell ref="AO639:AS639"/>
    <mergeCell ref="AO629:AS629"/>
    <mergeCell ref="AF630:AJ630"/>
    <mergeCell ref="T633:V633"/>
    <mergeCell ref="AK634:AN634"/>
    <mergeCell ref="AK635:AN635"/>
    <mergeCell ref="AK636:AN636"/>
    <mergeCell ref="AF631:AJ631"/>
    <mergeCell ref="AO628:AS628"/>
    <mergeCell ref="AO631:AS631"/>
    <mergeCell ref="AC624:AE626"/>
    <mergeCell ref="BG631:BH631"/>
    <mergeCell ref="BI631:BJ631"/>
    <mergeCell ref="AO640:AS640"/>
    <mergeCell ref="BN626:BR626"/>
    <mergeCell ref="BE627:BF627"/>
    <mergeCell ref="Q638:S638"/>
    <mergeCell ref="Z634:AB634"/>
    <mergeCell ref="BK629:BL629"/>
    <mergeCell ref="BN625:BR625"/>
    <mergeCell ref="G647:L647"/>
    <mergeCell ref="Z631:AB631"/>
    <mergeCell ref="W635:Y635"/>
    <mergeCell ref="AF624:AJ626"/>
    <mergeCell ref="B639:AN639"/>
    <mergeCell ref="B640:AN640"/>
    <mergeCell ref="BI630:BJ630"/>
    <mergeCell ref="BE623:BF623"/>
    <mergeCell ref="BG623:BH623"/>
    <mergeCell ref="AC630:AE630"/>
    <mergeCell ref="AC631:AE631"/>
    <mergeCell ref="G646:R646"/>
    <mergeCell ref="M635:P635"/>
    <mergeCell ref="M636:P636"/>
    <mergeCell ref="M637:P637"/>
    <mergeCell ref="M638:P638"/>
    <mergeCell ref="C628:L628"/>
    <mergeCell ref="AK637:AN637"/>
    <mergeCell ref="AF634:AJ634"/>
    <mergeCell ref="AK630:AN630"/>
    <mergeCell ref="AK631:AN631"/>
    <mergeCell ref="AK632:AN632"/>
    <mergeCell ref="BG632:BH632"/>
    <mergeCell ref="AO635:AS635"/>
    <mergeCell ref="B641:AN641"/>
    <mergeCell ref="W633:Y633"/>
    <mergeCell ref="BE629:BF629"/>
    <mergeCell ref="BG629:BH629"/>
    <mergeCell ref="BI629:BJ629"/>
    <mergeCell ref="BE626:BF626"/>
    <mergeCell ref="BG626:BH626"/>
    <mergeCell ref="BI626:BJ626"/>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R985:AA985"/>
    <mergeCell ref="M958:S958"/>
    <mergeCell ref="AE958:AK958"/>
    <mergeCell ref="W973:AG973"/>
    <mergeCell ref="M972:S972"/>
    <mergeCell ref="M971:S971"/>
    <mergeCell ref="D1006:AE1006"/>
    <mergeCell ref="D1049:AE1050"/>
    <mergeCell ref="G652:R652"/>
    <mergeCell ref="D1086:AK1090"/>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F930:T930"/>
    <mergeCell ref="AB956:AK956"/>
    <mergeCell ref="U948:Z948"/>
    <mergeCell ref="AA927:AF927"/>
    <mergeCell ref="U922:Z922"/>
    <mergeCell ref="AE954:AK954"/>
    <mergeCell ref="U945:Z945"/>
    <mergeCell ref="AA945:AF945"/>
    <mergeCell ref="U946:Z946"/>
    <mergeCell ref="U944:Z944"/>
    <mergeCell ref="BD902:BE902"/>
    <mergeCell ref="Z898:AE898"/>
    <mergeCell ref="BD905:BF905"/>
    <mergeCell ref="BD904:BF904"/>
    <mergeCell ref="F929:T929"/>
    <mergeCell ref="D1035:AE1035"/>
    <mergeCell ref="M875:V875"/>
    <mergeCell ref="W877:AC877"/>
    <mergeCell ref="W853:AC853"/>
    <mergeCell ref="AC886:AH886"/>
    <mergeCell ref="W874:AC874"/>
    <mergeCell ref="W857:AC857"/>
    <mergeCell ref="U923:Z923"/>
    <mergeCell ref="Z901:AE901"/>
    <mergeCell ref="AC891:AH891"/>
    <mergeCell ref="R989:AA989"/>
    <mergeCell ref="D1028:AE1028"/>
    <mergeCell ref="B990:AA990"/>
    <mergeCell ref="D993:AE993"/>
    <mergeCell ref="AA930:AF930"/>
    <mergeCell ref="U931:Z931"/>
    <mergeCell ref="AA931:AF931"/>
    <mergeCell ref="F937:T937"/>
    <mergeCell ref="F938:T938"/>
    <mergeCell ref="F939:T939"/>
    <mergeCell ref="U938:Z938"/>
    <mergeCell ref="W859:AC859"/>
    <mergeCell ref="B991:AI991"/>
    <mergeCell ref="R986:AA986"/>
    <mergeCell ref="AB984:AI984"/>
    <mergeCell ref="AB985:AI985"/>
    <mergeCell ref="AB986:AI986"/>
    <mergeCell ref="D986:Q986"/>
    <mergeCell ref="R988:AA988"/>
    <mergeCell ref="AB987:AI987"/>
    <mergeCell ref="D987:Q987"/>
    <mergeCell ref="D988:Q988"/>
    <mergeCell ref="U928:Z928"/>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90:AH890"/>
    <mergeCell ref="AC888:AH888"/>
    <mergeCell ref="M878:V878"/>
    <mergeCell ref="M874:V874"/>
    <mergeCell ref="E885:AB885"/>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AG829:AJ829"/>
    <mergeCell ref="O776:S776"/>
    <mergeCell ref="U827:X827"/>
    <mergeCell ref="Q825:T825"/>
    <mergeCell ref="AG823:AJ824"/>
    <mergeCell ref="AC797:AG797"/>
    <mergeCell ref="AC787:AG78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T728:W728"/>
    <mergeCell ref="AC740:AG740"/>
    <mergeCell ref="AC741:AG741"/>
    <mergeCell ref="AC737:AG737"/>
    <mergeCell ref="J769:N772"/>
    <mergeCell ref="T794:W794"/>
    <mergeCell ref="T792:W792"/>
    <mergeCell ref="O777:S777"/>
    <mergeCell ref="X788:AB788"/>
    <mergeCell ref="T734:W734"/>
    <mergeCell ref="O775:S775"/>
    <mergeCell ref="O752:S752"/>
    <mergeCell ref="J776:N776"/>
    <mergeCell ref="J790:N790"/>
    <mergeCell ref="AC789:AG789"/>
    <mergeCell ref="O797:S797"/>
    <mergeCell ref="X791:AB791"/>
    <mergeCell ref="O740:S740"/>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Y825:AB825"/>
    <mergeCell ref="AK749:AO749"/>
    <mergeCell ref="AI687:AK687"/>
    <mergeCell ref="AE696:AI696"/>
    <mergeCell ref="G670:R670"/>
    <mergeCell ref="G684:R684"/>
    <mergeCell ref="R705:T705"/>
    <mergeCell ref="M830:P830"/>
    <mergeCell ref="U825:X825"/>
    <mergeCell ref="W846:AC846"/>
    <mergeCell ref="J774:N774"/>
    <mergeCell ref="C829:H829"/>
    <mergeCell ref="K726:N726"/>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Q827:T827"/>
    <mergeCell ref="U823:X824"/>
    <mergeCell ref="Z806:AE806"/>
    <mergeCell ref="Z813:AE813"/>
    <mergeCell ref="Q828:T828"/>
    <mergeCell ref="AH726:AJ726"/>
    <mergeCell ref="AH504:AK504"/>
    <mergeCell ref="AH517:AK517"/>
    <mergeCell ref="AH535:AK535"/>
    <mergeCell ref="AH527:AK527"/>
    <mergeCell ref="AC517:AF517"/>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M825:P825"/>
    <mergeCell ref="Z655:AE655"/>
    <mergeCell ref="AA656:AK656"/>
    <mergeCell ref="P655:R655"/>
    <mergeCell ref="Z630:AB630"/>
    <mergeCell ref="M557:P557"/>
    <mergeCell ref="H582:R582"/>
    <mergeCell ref="AI572:AK572"/>
    <mergeCell ref="AI613:AK613"/>
    <mergeCell ref="W564:Y564"/>
    <mergeCell ref="T560:V560"/>
    <mergeCell ref="G570:R570"/>
    <mergeCell ref="G651:R651"/>
    <mergeCell ref="P581:R581"/>
    <mergeCell ref="AA582:AK582"/>
    <mergeCell ref="G597:L597"/>
    <mergeCell ref="AG591:AH591"/>
    <mergeCell ref="P605:R605"/>
    <mergeCell ref="Z585:AK585"/>
    <mergeCell ref="G645:R645"/>
    <mergeCell ref="M560:P560"/>
    <mergeCell ref="Q563:S563"/>
    <mergeCell ref="AI565:AL565"/>
    <mergeCell ref="N583:O583"/>
    <mergeCell ref="AE562:AH562"/>
    <mergeCell ref="M561:P561"/>
    <mergeCell ref="W636:Y636"/>
    <mergeCell ref="W637:Y637"/>
    <mergeCell ref="C627:L627"/>
    <mergeCell ref="C635:L635"/>
    <mergeCell ref="H614:R614"/>
    <mergeCell ref="Z632:AB632"/>
    <mergeCell ref="T628:V628"/>
    <mergeCell ref="N649:O649"/>
    <mergeCell ref="Z646:AK646"/>
    <mergeCell ref="AA335:AK335"/>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E561:AH561"/>
    <mergeCell ref="M555:P555"/>
    <mergeCell ref="H338:R338"/>
    <mergeCell ref="P343:AE343"/>
    <mergeCell ref="AA340:AF340"/>
    <mergeCell ref="H339:M339"/>
    <mergeCell ref="T398:AJ398"/>
    <mergeCell ref="AG440:AJ440"/>
    <mergeCell ref="AC387:AJ387"/>
    <mergeCell ref="V388:AJ388"/>
    <mergeCell ref="D443:AF443"/>
    <mergeCell ref="W471:Y471"/>
    <mergeCell ref="AG395:AJ395"/>
    <mergeCell ref="AI392:AJ392"/>
    <mergeCell ref="R412:S412"/>
    <mergeCell ref="Q429:R429"/>
    <mergeCell ref="D448:AF448"/>
    <mergeCell ref="AC347:AE347"/>
    <mergeCell ref="AC456:AF456"/>
    <mergeCell ref="T563:V563"/>
    <mergeCell ref="Z564:AD564"/>
    <mergeCell ref="AC532:AF532"/>
    <mergeCell ref="O535:AA535"/>
    <mergeCell ref="AH523:AK523"/>
    <mergeCell ref="S402:U402"/>
    <mergeCell ref="P425:Q425"/>
    <mergeCell ref="I418:K418"/>
    <mergeCell ref="S413:T413"/>
    <mergeCell ref="AG393:AJ393"/>
    <mergeCell ref="AG391:AJ391"/>
    <mergeCell ref="K404:AJ404"/>
    <mergeCell ref="AC386:AJ386"/>
    <mergeCell ref="Q393:U393"/>
    <mergeCell ref="AG380:AH380"/>
    <mergeCell ref="AC508:AF508"/>
    <mergeCell ref="S405:AJ405"/>
    <mergeCell ref="J387:U387"/>
    <mergeCell ref="AI397:AJ397"/>
    <mergeCell ref="T399:AJ399"/>
    <mergeCell ref="Z559:AD559"/>
    <mergeCell ref="Z560:AD560"/>
    <mergeCell ref="I421:K421"/>
    <mergeCell ref="AH510:AK510"/>
    <mergeCell ref="AC512:AF512"/>
    <mergeCell ref="AH512:AK512"/>
    <mergeCell ref="AC536:AF536"/>
    <mergeCell ref="AC526:AF526"/>
    <mergeCell ref="AH531:AK531"/>
    <mergeCell ref="AE557:AH557"/>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288:R288"/>
    <mergeCell ref="AA311:AK311"/>
    <mergeCell ref="AA306:AK306"/>
    <mergeCell ref="AA303:AK303"/>
    <mergeCell ref="AI315:AK315"/>
    <mergeCell ref="AA312:AK312"/>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T196:U196"/>
    <mergeCell ref="D220:Z220"/>
    <mergeCell ref="T193:AI193"/>
    <mergeCell ref="M236:R236"/>
    <mergeCell ref="Z236:AE236"/>
    <mergeCell ref="AH246:AK246"/>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08:M308"/>
    <mergeCell ref="P307:R307"/>
    <mergeCell ref="H305:R305"/>
    <mergeCell ref="AA288:AK288"/>
    <mergeCell ref="H287:R287"/>
    <mergeCell ref="AA291:AF291"/>
    <mergeCell ref="AI291:AK291"/>
    <mergeCell ref="AI299:AK299"/>
    <mergeCell ref="H297:R297"/>
    <mergeCell ref="AA298:AK298"/>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V276:W276"/>
    <mergeCell ref="L280:AD280"/>
    <mergeCell ref="L276:S276"/>
    <mergeCell ref="H340:M340"/>
    <mergeCell ref="AA317:AK317"/>
    <mergeCell ref="M356:N356"/>
    <mergeCell ref="G474:V474"/>
    <mergeCell ref="W474:Y474"/>
    <mergeCell ref="D467:V467"/>
    <mergeCell ref="AG441:AJ441"/>
    <mergeCell ref="AG438:AJ438"/>
    <mergeCell ref="AG394:AJ394"/>
    <mergeCell ref="E420:AJ420"/>
    <mergeCell ref="AE402:AJ402"/>
    <mergeCell ref="AC385:AJ385"/>
    <mergeCell ref="H336:R336"/>
    <mergeCell ref="AA332:AF332"/>
    <mergeCell ref="AA328:AK328"/>
    <mergeCell ref="N371:Q371"/>
    <mergeCell ref="Y364:Z364"/>
    <mergeCell ref="AA327:AK327"/>
    <mergeCell ref="H332:M332"/>
    <mergeCell ref="H335:R335"/>
    <mergeCell ref="AA329:AK329"/>
    <mergeCell ref="P331:R331"/>
    <mergeCell ref="AA324:AF324"/>
    <mergeCell ref="H328:R328"/>
    <mergeCell ref="AA336:AK336"/>
    <mergeCell ref="H333:R333"/>
    <mergeCell ref="H317:R317"/>
    <mergeCell ref="AI323:AK323"/>
    <mergeCell ref="AA320:AK320"/>
    <mergeCell ref="AA337:AK337"/>
    <mergeCell ref="H327:R327"/>
    <mergeCell ref="AA333:AK333"/>
    <mergeCell ref="BE597:BF597"/>
    <mergeCell ref="N591:O591"/>
    <mergeCell ref="AC515:AF515"/>
    <mergeCell ref="AC514:AF514"/>
    <mergeCell ref="V377:W377"/>
    <mergeCell ref="S377:T377"/>
    <mergeCell ref="S401:U401"/>
    <mergeCell ref="AC505:AF505"/>
    <mergeCell ref="O532:AA532"/>
    <mergeCell ref="Q394:U394"/>
    <mergeCell ref="AC534:AF534"/>
    <mergeCell ref="BI601:BJ601"/>
    <mergeCell ref="BI600:BJ600"/>
    <mergeCell ref="K403:AJ403"/>
    <mergeCell ref="AG449:AJ449"/>
    <mergeCell ref="V382:W382"/>
    <mergeCell ref="N378:P378"/>
    <mergeCell ref="AG401:AJ401"/>
    <mergeCell ref="D445:AF445"/>
    <mergeCell ref="D446:AF446"/>
    <mergeCell ref="D447:AF447"/>
    <mergeCell ref="J388:U388"/>
    <mergeCell ref="AE424:AF424"/>
    <mergeCell ref="C556:L556"/>
    <mergeCell ref="M556:P556"/>
    <mergeCell ref="AH500:AK500"/>
    <mergeCell ref="H598:R598"/>
    <mergeCell ref="AF574:AK574"/>
    <mergeCell ref="BG598:BH598"/>
    <mergeCell ref="BG599:BH599"/>
    <mergeCell ref="AI589:AK589"/>
    <mergeCell ref="Z596:AK596"/>
    <mergeCell ref="BG597:BH597"/>
    <mergeCell ref="BI597:BJ597"/>
    <mergeCell ref="BK596:BL596"/>
    <mergeCell ref="Z557:AD557"/>
    <mergeCell ref="G604:R604"/>
    <mergeCell ref="AI557:AL557"/>
    <mergeCell ref="Q562:S562"/>
    <mergeCell ref="AC533:AF533"/>
    <mergeCell ref="Z555:AD555"/>
    <mergeCell ref="BN600:BR600"/>
    <mergeCell ref="AM556:AS556"/>
    <mergeCell ref="BE601:BF601"/>
    <mergeCell ref="BE598:BF598"/>
    <mergeCell ref="BG600:BH600"/>
    <mergeCell ref="BN601:BR601"/>
    <mergeCell ref="AM555:AS555"/>
    <mergeCell ref="BG603:BH603"/>
    <mergeCell ref="T557:V557"/>
    <mergeCell ref="Q554:S554"/>
    <mergeCell ref="Z561:AD561"/>
    <mergeCell ref="M562:P562"/>
    <mergeCell ref="M563:P563"/>
    <mergeCell ref="AM562:AS562"/>
    <mergeCell ref="AI562:AL562"/>
    <mergeCell ref="C554:L554"/>
    <mergeCell ref="BN596:BR596"/>
    <mergeCell ref="BI602:BJ602"/>
    <mergeCell ref="BI598:BJ598"/>
    <mergeCell ref="AM564:AS564"/>
    <mergeCell ref="AC539:AF539"/>
    <mergeCell ref="BN599:BR599"/>
    <mergeCell ref="W562:Y562"/>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BG596:BH596"/>
    <mergeCell ref="BK600:BL600"/>
    <mergeCell ref="CC598:CG598"/>
    <mergeCell ref="BS604:BW604"/>
    <mergeCell ref="BS602:BW602"/>
    <mergeCell ref="CC597:CG597"/>
    <mergeCell ref="BX596:CB596"/>
    <mergeCell ref="BK603:BL603"/>
    <mergeCell ref="CC601:CG601"/>
    <mergeCell ref="BK601:BL601"/>
    <mergeCell ref="CC602:CG602"/>
    <mergeCell ref="BI599:BJ599"/>
    <mergeCell ref="CH599:CL599"/>
    <mergeCell ref="BX599:CB599"/>
    <mergeCell ref="CC600:CG600"/>
    <mergeCell ref="BS598:BW598"/>
    <mergeCell ref="BE606:BF606"/>
    <mergeCell ref="BG606:BH606"/>
    <mergeCell ref="BI608:BJ608"/>
    <mergeCell ref="BG610:BH610"/>
    <mergeCell ref="CH605:CL605"/>
    <mergeCell ref="BK607:BL607"/>
    <mergeCell ref="BN607:BR607"/>
    <mergeCell ref="BS607:BW607"/>
    <mergeCell ref="BN609:BR609"/>
    <mergeCell ref="BN610:BR610"/>
    <mergeCell ref="BG601:BH601"/>
    <mergeCell ref="CC605:CG605"/>
    <mergeCell ref="CC608:CG608"/>
    <mergeCell ref="CH606:CL606"/>
    <mergeCell ref="BS608:BW608"/>
    <mergeCell ref="BN608:BR608"/>
    <mergeCell ref="BX608:CB608"/>
    <mergeCell ref="BE603:BF603"/>
    <mergeCell ref="BE600:BF600"/>
    <mergeCell ref="CC610:CG610"/>
    <mergeCell ref="CC607:CG607"/>
    <mergeCell ref="BN602:BR602"/>
    <mergeCell ref="BI603:BJ603"/>
    <mergeCell ref="CC609:CG609"/>
    <mergeCell ref="BX602:CB602"/>
    <mergeCell ref="BX603:CB603"/>
    <mergeCell ref="BE609:BF609"/>
    <mergeCell ref="BS599:BW599"/>
    <mergeCell ref="CH604:CL604"/>
    <mergeCell ref="BK608:BL608"/>
    <mergeCell ref="CH607:CL607"/>
    <mergeCell ref="BI607:BJ607"/>
    <mergeCell ref="BG604:BH604"/>
    <mergeCell ref="BX610:CB610"/>
    <mergeCell ref="BI610:BJ610"/>
    <mergeCell ref="BK611:BL611"/>
    <mergeCell ref="BK614:BL614"/>
    <mergeCell ref="BI613:BJ613"/>
    <mergeCell ref="BK613:BL613"/>
    <mergeCell ref="BI609:BJ609"/>
    <mergeCell ref="BX606:CB606"/>
    <mergeCell ref="BI604:BJ604"/>
    <mergeCell ref="BS606:BW606"/>
    <mergeCell ref="BK609:BL609"/>
    <mergeCell ref="BN619:BR619"/>
    <mergeCell ref="BX612:CB612"/>
    <mergeCell ref="BX605:CB605"/>
    <mergeCell ref="BK612:BL612"/>
    <mergeCell ref="BG612:BH612"/>
    <mergeCell ref="BN612:BR612"/>
    <mergeCell ref="BI614:BJ614"/>
    <mergeCell ref="BS619:BW619"/>
    <mergeCell ref="BG618:BH618"/>
    <mergeCell ref="BS605:BW605"/>
    <mergeCell ref="BX604:CB604"/>
    <mergeCell ref="BI606:BJ606"/>
    <mergeCell ref="BK610:BL610"/>
    <mergeCell ref="BS613:BW613"/>
    <mergeCell ref="BX613:CB613"/>
    <mergeCell ref="BX618:CB618"/>
    <mergeCell ref="BX614:CB614"/>
    <mergeCell ref="BI612:BJ612"/>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BE610:BF610"/>
    <mergeCell ref="BE612:BF612"/>
    <mergeCell ref="Z654:AK654"/>
    <mergeCell ref="BS623:BW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5:AF525"/>
    <mergeCell ref="AE556:AH556"/>
    <mergeCell ref="Q558:S558"/>
    <mergeCell ref="AG607:AH607"/>
    <mergeCell ref="G588:R588"/>
    <mergeCell ref="Q559:S559"/>
    <mergeCell ref="P349:AE349"/>
    <mergeCell ref="AC370:AF370"/>
    <mergeCell ref="P348:Z348"/>
    <mergeCell ref="N373:AF374"/>
    <mergeCell ref="AJ355:AK355"/>
    <mergeCell ref="AG442:AJ442"/>
    <mergeCell ref="AG377:AH377"/>
    <mergeCell ref="E418:G418"/>
    <mergeCell ref="AD411:AE411"/>
    <mergeCell ref="F427:AH428"/>
    <mergeCell ref="D441:AF441"/>
    <mergeCell ref="D466:V466"/>
    <mergeCell ref="D437:AF437"/>
    <mergeCell ref="D406:AJ407"/>
    <mergeCell ref="D450:AF450"/>
    <mergeCell ref="D451:AJ452"/>
    <mergeCell ref="I410:AE410"/>
    <mergeCell ref="AF430:AG430"/>
    <mergeCell ref="AG437:AJ437"/>
    <mergeCell ref="AG439:AJ439"/>
    <mergeCell ref="AG444:AJ444"/>
    <mergeCell ref="AJ356:AK356"/>
    <mergeCell ref="AC371:AF371"/>
    <mergeCell ref="AD412:AE412"/>
    <mergeCell ref="H414:AE415"/>
    <mergeCell ref="AE425:AF425"/>
    <mergeCell ref="AM554:AS554"/>
    <mergeCell ref="M495:P495"/>
    <mergeCell ref="AC501:AF501"/>
    <mergeCell ref="AH526:AK526"/>
    <mergeCell ref="AC518:AF518"/>
    <mergeCell ref="D440:AF440"/>
    <mergeCell ref="D449:AF449"/>
    <mergeCell ref="B501:H502"/>
    <mergeCell ref="O523:AA523"/>
    <mergeCell ref="AC519:AF519"/>
    <mergeCell ref="AH538:AK538"/>
    <mergeCell ref="Z551:AD553"/>
    <mergeCell ref="AC523:AF523"/>
    <mergeCell ref="B514:H516"/>
    <mergeCell ref="AC522:AF522"/>
    <mergeCell ref="T554:V554"/>
    <mergeCell ref="AG445:AJ445"/>
    <mergeCell ref="AC540:AF540"/>
    <mergeCell ref="AH501:AK501"/>
    <mergeCell ref="AC509:AF509"/>
    <mergeCell ref="AC529:AF529"/>
    <mergeCell ref="AH530:AK530"/>
    <mergeCell ref="AH506:AK506"/>
    <mergeCell ref="AH508:AK508"/>
    <mergeCell ref="Q494:AK494"/>
    <mergeCell ref="AG450:AJ450"/>
    <mergeCell ref="AC455:AF455"/>
    <mergeCell ref="F457:AB458"/>
    <mergeCell ref="W470:Y470"/>
    <mergeCell ref="D471:V471"/>
    <mergeCell ref="AH522:AK522"/>
    <mergeCell ref="AG443:AJ443"/>
    <mergeCell ref="T551:V553"/>
    <mergeCell ref="W551:Y553"/>
    <mergeCell ref="B551:L553"/>
    <mergeCell ref="M551:P553"/>
    <mergeCell ref="Q551:S553"/>
    <mergeCell ref="AH540:AK540"/>
    <mergeCell ref="W467:Y467"/>
    <mergeCell ref="AC500:AF500"/>
    <mergeCell ref="Q485:AK485"/>
    <mergeCell ref="Z432:AA432"/>
    <mergeCell ref="Q487:AK487"/>
    <mergeCell ref="Q486:AK486"/>
    <mergeCell ref="AH502:AK502"/>
    <mergeCell ref="AC499:AK499"/>
    <mergeCell ref="W468:Y468"/>
    <mergeCell ref="B503:H508"/>
    <mergeCell ref="AH507:AK507"/>
    <mergeCell ref="Q491:AK491"/>
    <mergeCell ref="AG447:AJ447"/>
    <mergeCell ref="AH495:AK495"/>
    <mergeCell ref="D465:V465"/>
    <mergeCell ref="AC454:AF454"/>
    <mergeCell ref="B517:H519"/>
    <mergeCell ref="AH503:AK503"/>
    <mergeCell ref="D442:AF442"/>
    <mergeCell ref="O526:AA526"/>
    <mergeCell ref="AH513:AK513"/>
    <mergeCell ref="AC510:AF510"/>
    <mergeCell ref="AH534:AK534"/>
    <mergeCell ref="AH521:AK521"/>
    <mergeCell ref="AC530:AF530"/>
    <mergeCell ref="AH537:AK537"/>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AA338:AK338"/>
    <mergeCell ref="AA339:AF339"/>
    <mergeCell ref="AA341:AK341"/>
    <mergeCell ref="Z588:AK588"/>
    <mergeCell ref="Z589:AE589"/>
    <mergeCell ref="AA590:AK590"/>
    <mergeCell ref="G668:R668"/>
    <mergeCell ref="P671:R671"/>
    <mergeCell ref="P687:R687"/>
    <mergeCell ref="J705:O705"/>
    <mergeCell ref="J704:X704"/>
    <mergeCell ref="O722:S722"/>
    <mergeCell ref="BN603:BR603"/>
    <mergeCell ref="BN606:BR606"/>
    <mergeCell ref="BK606:BL606"/>
    <mergeCell ref="BS610:BW610"/>
    <mergeCell ref="BX607:CB607"/>
    <mergeCell ref="CC606:CG606"/>
    <mergeCell ref="CH618:CL618"/>
    <mergeCell ref="BX620:CB620"/>
    <mergeCell ref="CC616:CG616"/>
    <mergeCell ref="CC618:CG618"/>
    <mergeCell ref="CM611:CQ611"/>
    <mergeCell ref="CC611:CG611"/>
    <mergeCell ref="BS612:BW612"/>
    <mergeCell ref="CM617:CQ617"/>
    <mergeCell ref="BS621:BW621"/>
    <mergeCell ref="CC625:CG625"/>
    <mergeCell ref="CC604:CG604"/>
    <mergeCell ref="BN605:BR605"/>
    <mergeCell ref="BS609:BW609"/>
    <mergeCell ref="CC613:CG613"/>
    <mergeCell ref="CC614:CG614"/>
    <mergeCell ref="BK620:BL620"/>
    <mergeCell ref="CM618:CQ618"/>
    <mergeCell ref="CH619:CL619"/>
    <mergeCell ref="CH615:CL615"/>
    <mergeCell ref="CH616:CL616"/>
    <mergeCell ref="CH614:CL614"/>
    <mergeCell ref="CH620:CL620"/>
    <mergeCell ref="DC620:DG620"/>
    <mergeCell ref="ER621:EV621"/>
    <mergeCell ref="DX622:EB622"/>
    <mergeCell ref="EC622:EG622"/>
    <mergeCell ref="EH622:EL622"/>
    <mergeCell ref="EM622:EQ622"/>
    <mergeCell ref="ER622:EV622"/>
    <mergeCell ref="DX623:EB623"/>
    <mergeCell ref="EC623:EG623"/>
    <mergeCell ref="EH623:EL623"/>
    <mergeCell ref="EM623:EQ623"/>
    <mergeCell ref="ER623:EV623"/>
    <mergeCell ref="DM620:DQ620"/>
    <mergeCell ref="DR628:DV628"/>
    <mergeCell ref="CS629:CW629"/>
    <mergeCell ref="CX629:DB629"/>
    <mergeCell ref="DC629:DG629"/>
    <mergeCell ref="DH629:DL629"/>
    <mergeCell ref="DM629:DQ629"/>
    <mergeCell ref="DR629:DV629"/>
    <mergeCell ref="ER629:EV629"/>
    <mergeCell ref="DR625:DV625"/>
    <mergeCell ref="CS626:CW626"/>
    <mergeCell ref="CX626:DB626"/>
    <mergeCell ref="DR620:DV620"/>
    <mergeCell ref="CS621:CW621"/>
    <mergeCell ref="CX621:DB621"/>
    <mergeCell ref="DC621:DG621"/>
    <mergeCell ref="CS624:CW624"/>
    <mergeCell ref="CS625:CW625"/>
    <mergeCell ref="CX625:DB625"/>
    <mergeCell ref="ER625:EV625"/>
    <mergeCell ref="EW628:FA628"/>
    <mergeCell ref="EC625:EG625"/>
    <mergeCell ref="EH625:EL625"/>
    <mergeCell ref="EM625:EQ625"/>
    <mergeCell ref="DR627:DV627"/>
    <mergeCell ref="DR626:DV626"/>
    <mergeCell ref="EC636:EG636"/>
    <mergeCell ref="EH636:EL636"/>
    <mergeCell ref="DX636:EB636"/>
    <mergeCell ref="ER636:EV636"/>
    <mergeCell ref="DX629:EB629"/>
    <mergeCell ref="EC629:EG629"/>
    <mergeCell ref="EH629:EL629"/>
    <mergeCell ref="EM629:EQ629"/>
    <mergeCell ref="EW627:FA627"/>
    <mergeCell ref="DX628:EB628"/>
    <mergeCell ref="EC628:EG628"/>
    <mergeCell ref="EH628:EL628"/>
    <mergeCell ref="EM628:EQ628"/>
    <mergeCell ref="EM630:EQ630"/>
    <mergeCell ref="DR630:DV630"/>
    <mergeCell ref="EW624:FA624"/>
    <mergeCell ref="DX625:EB625"/>
    <mergeCell ref="DR624:DV624"/>
    <mergeCell ref="EW630:FA630"/>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H647:EL647"/>
    <mergeCell ref="EM647:EQ647"/>
    <mergeCell ref="DX648:EB648"/>
    <mergeCell ref="EW641:FA641"/>
    <mergeCell ref="DX642:EB642"/>
    <mergeCell ref="EW629:FA629"/>
    <mergeCell ref="EW631:FA631"/>
    <mergeCell ref="EW626:FA626"/>
    <mergeCell ref="DX627:EB627"/>
    <mergeCell ref="EC627:EG627"/>
    <mergeCell ref="EH627:EL627"/>
    <mergeCell ref="EM627:EQ627"/>
    <mergeCell ref="ER627:EV627"/>
    <mergeCell ref="ER628:EV628"/>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C637:EG637"/>
    <mergeCell ref="EH657:EL657"/>
    <mergeCell ref="EM657:EQ657"/>
    <mergeCell ref="ER657:EV657"/>
    <mergeCell ref="EW657:FA657"/>
    <mergeCell ref="EW648:FA648"/>
    <mergeCell ref="DX641:EB641"/>
    <mergeCell ref="EC653:EG653"/>
    <mergeCell ref="DX654:EB654"/>
    <mergeCell ref="EC654:EG654"/>
    <mergeCell ref="EH654:EL654"/>
    <mergeCell ref="AH745:AJ745"/>
    <mergeCell ref="AH746:AJ746"/>
    <mergeCell ref="AH747:AJ747"/>
    <mergeCell ref="AH748:AJ748"/>
    <mergeCell ref="AK739:AO739"/>
    <mergeCell ref="Z671:AE671"/>
    <mergeCell ref="Z668:AK668"/>
    <mergeCell ref="AC747:AG747"/>
    <mergeCell ref="AK748:AO748"/>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H639:EL639"/>
    <mergeCell ref="EM639:EQ639"/>
    <mergeCell ref="EM637:EQ637"/>
    <mergeCell ref="EM644:EQ644"/>
    <mergeCell ref="ER644:EV644"/>
    <mergeCell ref="EW655:FA655"/>
    <mergeCell ref="EW650:FA650"/>
    <mergeCell ref="EW651:FA651"/>
    <mergeCell ref="EW661:FA661"/>
    <mergeCell ref="EM662:EQ662"/>
    <mergeCell ref="AK724:AO724"/>
    <mergeCell ref="ER669:EV669"/>
    <mergeCell ref="ER668:EV668"/>
    <mergeCell ref="AH730:AJ730"/>
    <mergeCell ref="EM670:EQ670"/>
    <mergeCell ref="AK731:AO731"/>
    <mergeCell ref="EW665:FA665"/>
    <mergeCell ref="EW662:FA662"/>
    <mergeCell ref="DX663:EB663"/>
    <mergeCell ref="EC663:EG663"/>
    <mergeCell ref="EH663:EL663"/>
    <mergeCell ref="EM663:EQ663"/>
    <mergeCell ref="ER663:EV663"/>
    <mergeCell ref="EW663:FA663"/>
    <mergeCell ref="Z662:AK662"/>
    <mergeCell ref="AA672:AK672"/>
    <mergeCell ref="Z684:AK684"/>
    <mergeCell ref="EW670:FA670"/>
    <mergeCell ref="AG665:AH665"/>
    <mergeCell ref="EM661:EQ661"/>
    <mergeCell ref="ER670:EV670"/>
    <mergeCell ref="DX669:EB669"/>
    <mergeCell ref="EC670:EG670"/>
    <mergeCell ref="EH670:EL670"/>
    <mergeCell ref="EC669:EG669"/>
    <mergeCell ref="EH669:EL669"/>
    <mergeCell ref="EM669:EQ669"/>
    <mergeCell ref="DX662:EB662"/>
    <mergeCell ref="EC662:EG662"/>
    <mergeCell ref="Z677:AK677"/>
    <mergeCell ref="EC659:EG659"/>
    <mergeCell ref="EH659:EL659"/>
    <mergeCell ref="H664:R664"/>
    <mergeCell ref="EM659:EQ659"/>
    <mergeCell ref="EC666:EG666"/>
    <mergeCell ref="EH666:EL666"/>
    <mergeCell ref="T725:W725"/>
    <mergeCell ref="O725:S725"/>
    <mergeCell ref="AH719:AJ719"/>
    <mergeCell ref="G728:J728"/>
    <mergeCell ref="G671:L671"/>
    <mergeCell ref="G669:R669"/>
    <mergeCell ref="T718:W718"/>
    <mergeCell ref="O721:S721"/>
    <mergeCell ref="DX666:EB666"/>
    <mergeCell ref="H680:R680"/>
    <mergeCell ref="Z670:AK670"/>
    <mergeCell ref="Z675:AK675"/>
    <mergeCell ref="G675:R675"/>
    <mergeCell ref="AK728:AO728"/>
    <mergeCell ref="AC723:AG723"/>
    <mergeCell ref="AH721:AJ721"/>
    <mergeCell ref="G727:J727"/>
    <mergeCell ref="K720:N720"/>
    <mergeCell ref="G719:J719"/>
    <mergeCell ref="O718:S718"/>
    <mergeCell ref="O720:S720"/>
    <mergeCell ref="G714:J717"/>
    <mergeCell ref="AA688:AK688"/>
    <mergeCell ref="AC719:AG719"/>
    <mergeCell ref="G659:R659"/>
    <mergeCell ref="G723:J723"/>
    <mergeCell ref="AK743:AO743"/>
    <mergeCell ref="AK744:AO744"/>
    <mergeCell ref="X743:AB743"/>
    <mergeCell ref="X744:AB744"/>
    <mergeCell ref="AH743:AJ743"/>
    <mergeCell ref="AH744:AJ744"/>
    <mergeCell ref="G731:J731"/>
    <mergeCell ref="X738:AB738"/>
    <mergeCell ref="BN660:BR660"/>
    <mergeCell ref="O734:S734"/>
    <mergeCell ref="K739:N739"/>
    <mergeCell ref="K722:N722"/>
    <mergeCell ref="K723:N723"/>
    <mergeCell ref="T723:W723"/>
    <mergeCell ref="K721:N721"/>
    <mergeCell ref="G667:R667"/>
    <mergeCell ref="A709:AT711"/>
    <mergeCell ref="G660:R660"/>
    <mergeCell ref="X714:AB717"/>
    <mergeCell ref="Z679:AE679"/>
    <mergeCell ref="G721:J721"/>
    <mergeCell ref="G722:J722"/>
    <mergeCell ref="O714:S717"/>
    <mergeCell ref="G724:J724"/>
    <mergeCell ref="T729:W729"/>
    <mergeCell ref="K729:N729"/>
    <mergeCell ref="B718:F718"/>
    <mergeCell ref="G720:J720"/>
    <mergeCell ref="B721:F721"/>
    <mergeCell ref="K719:N719"/>
    <mergeCell ref="G718:J718"/>
    <mergeCell ref="O736:S736"/>
    <mergeCell ref="AC748:AG748"/>
    <mergeCell ref="K748:N748"/>
    <mergeCell ref="O748:S748"/>
    <mergeCell ref="B726:F726"/>
    <mergeCell ref="H688:R688"/>
    <mergeCell ref="AE702:AF702"/>
    <mergeCell ref="AE693:AF693"/>
    <mergeCell ref="B719:F719"/>
    <mergeCell ref="B714:F717"/>
    <mergeCell ref="AH736:AJ736"/>
    <mergeCell ref="AH735:AJ735"/>
    <mergeCell ref="B737:F737"/>
    <mergeCell ref="B735:F735"/>
    <mergeCell ref="B738:F738"/>
    <mergeCell ref="E707:AK707"/>
    <mergeCell ref="W706:AK706"/>
    <mergeCell ref="AH728:AJ728"/>
    <mergeCell ref="AC721:AG721"/>
    <mergeCell ref="AC722:AG722"/>
    <mergeCell ref="X718:AB718"/>
    <mergeCell ref="AK726:AO726"/>
    <mergeCell ref="AK722:AO722"/>
    <mergeCell ref="B727:F727"/>
    <mergeCell ref="B747:F747"/>
    <mergeCell ref="B748:F748"/>
    <mergeCell ref="K741:N741"/>
    <mergeCell ref="AK738:AO738"/>
    <mergeCell ref="B725:F725"/>
    <mergeCell ref="B724:F724"/>
    <mergeCell ref="B728:F728"/>
    <mergeCell ref="X728:AB728"/>
    <mergeCell ref="T722:W722"/>
    <mergeCell ref="B729:F729"/>
    <mergeCell ref="B720:F720"/>
    <mergeCell ref="B722:F722"/>
    <mergeCell ref="T714:W717"/>
    <mergeCell ref="O719:S719"/>
    <mergeCell ref="X724:AB724"/>
    <mergeCell ref="AH722:AJ722"/>
    <mergeCell ref="B723:F723"/>
    <mergeCell ref="AG681:AH681"/>
    <mergeCell ref="K718:N718"/>
    <mergeCell ref="Z685:AK685"/>
    <mergeCell ref="X734:AB734"/>
    <mergeCell ref="X733:AB733"/>
    <mergeCell ref="AK720:AO720"/>
    <mergeCell ref="AK721:AO721"/>
    <mergeCell ref="G732:J732"/>
    <mergeCell ref="K728:N728"/>
    <mergeCell ref="T720:W720"/>
    <mergeCell ref="G685:R685"/>
    <mergeCell ref="G687:L687"/>
    <mergeCell ref="AH720:AJ720"/>
    <mergeCell ref="AC727:AG727"/>
    <mergeCell ref="AC728:AG728"/>
    <mergeCell ref="X721:AB721"/>
    <mergeCell ref="X727:AB727"/>
    <mergeCell ref="O730:S730"/>
    <mergeCell ref="K731:N731"/>
    <mergeCell ref="T737:W737"/>
    <mergeCell ref="CH660:CL660"/>
    <mergeCell ref="CM660:CQ660"/>
    <mergeCell ref="AA680:AK680"/>
    <mergeCell ref="AK730:AO730"/>
    <mergeCell ref="AH727:AJ727"/>
    <mergeCell ref="AC724:AG724"/>
    <mergeCell ref="AG689:AH689"/>
    <mergeCell ref="W703:AK703"/>
    <mergeCell ref="Z676:AK676"/>
    <mergeCell ref="W700:AK700"/>
    <mergeCell ref="Z683:AK683"/>
    <mergeCell ref="Z678:AK678"/>
    <mergeCell ref="P663:R663"/>
    <mergeCell ref="AE694:AF694"/>
    <mergeCell ref="AK727:AO727"/>
    <mergeCell ref="X729:AB729"/>
    <mergeCell ref="G678:R678"/>
    <mergeCell ref="P679:R679"/>
    <mergeCell ref="G677:R677"/>
    <mergeCell ref="N673:O673"/>
    <mergeCell ref="CC660:CG660"/>
    <mergeCell ref="BS660:BW660"/>
    <mergeCell ref="Z667:AK667"/>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1" workbookViewId="0">
      <selection activeCell="C75" sqref="C75"/>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557</v>
      </c>
      <c r="B1" s="125"/>
      <c r="C1" s="125"/>
      <c r="D1" s="125"/>
      <c r="E1" s="126"/>
      <c r="F1" s="1878" t="s">
        <v>629</v>
      </c>
      <c r="G1" s="1879"/>
      <c r="H1" s="1879"/>
      <c r="I1" s="1879"/>
      <c r="J1" s="1879"/>
      <c r="K1" s="1879"/>
      <c r="L1" s="1879"/>
      <c r="M1" s="1879"/>
      <c r="N1" s="1879"/>
      <c r="O1" s="1879"/>
      <c r="P1" s="1879"/>
      <c r="Q1" s="1879"/>
      <c r="R1" s="1880"/>
      <c r="S1" s="112"/>
      <c r="T1" s="111"/>
      <c r="U1" s="113"/>
    </row>
    <row r="2" spans="1:21" s="138" customFormat="1" ht="71.25" customHeight="1">
      <c r="A2" s="137"/>
      <c r="B2" s="138" t="s">
        <v>23</v>
      </c>
      <c r="C2" s="138" t="s">
        <v>375</v>
      </c>
      <c r="D2" s="138" t="s">
        <v>374</v>
      </c>
      <c r="E2" s="138" t="s">
        <v>24</v>
      </c>
      <c r="F2" s="139" t="str">
        <f>Application!B627&amp;Application!C627</f>
        <v>1)Tax Exempt Bonds Permanent Loan</v>
      </c>
      <c r="G2" s="139" t="str">
        <f>Application!B628&amp;Application!C628</f>
        <v>2)City of Santa Paula Deferred Impact Fees</v>
      </c>
      <c r="H2" s="139" t="str">
        <f>Application!B629&amp;Application!C629</f>
        <v>3)Inclusionary Housing Funds</v>
      </c>
      <c r="I2" s="139" t="str">
        <f>Application!B630&amp;Application!C630</f>
        <v>4)Deferred Developer Fee</v>
      </c>
      <c r="J2" s="139" t="str">
        <f>Application!B631&amp;Application!C631</f>
        <v>5)Seller Land Note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3600000</v>
      </c>
      <c r="C4" s="147">
        <v>3600000</v>
      </c>
      <c r="D4" s="147"/>
      <c r="E4" s="147">
        <v>2320000</v>
      </c>
      <c r="F4" s="147"/>
      <c r="G4" s="147"/>
      <c r="H4" s="147"/>
      <c r="I4" s="147"/>
      <c r="J4" s="147">
        <v>1280000</v>
      </c>
      <c r="K4" s="147"/>
      <c r="L4" s="147"/>
      <c r="M4" s="147"/>
      <c r="N4" s="147"/>
      <c r="O4" s="147"/>
      <c r="P4" s="147"/>
      <c r="Q4" s="147"/>
      <c r="R4" s="550">
        <f>SUM(E4:Q4)</f>
        <v>3600000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601</v>
      </c>
      <c r="B8" s="146">
        <f>SUM(C8:D8)</f>
        <v>3600000</v>
      </c>
      <c r="C8" s="146">
        <f t="shared" ref="C8:Q8" si="0">SUM(C4:C7)</f>
        <v>3600000</v>
      </c>
      <c r="D8" s="146">
        <f t="shared" si="0"/>
        <v>0</v>
      </c>
      <c r="E8" s="146">
        <f t="shared" si="0"/>
        <v>2320000</v>
      </c>
      <c r="F8" s="146">
        <f t="shared" si="0"/>
        <v>0</v>
      </c>
      <c r="G8" s="146">
        <f t="shared" si="0"/>
        <v>0</v>
      </c>
      <c r="H8" s="146">
        <f t="shared" si="0"/>
        <v>0</v>
      </c>
      <c r="I8" s="146">
        <f t="shared" si="0"/>
        <v>0</v>
      </c>
      <c r="J8" s="146">
        <f t="shared" si="0"/>
        <v>1280000</v>
      </c>
      <c r="K8" s="146">
        <f t="shared" si="0"/>
        <v>0</v>
      </c>
      <c r="L8" s="146">
        <f t="shared" si="0"/>
        <v>0</v>
      </c>
      <c r="M8" s="146">
        <f t="shared" si="0"/>
        <v>0</v>
      </c>
      <c r="N8" s="146">
        <f t="shared" si="0"/>
        <v>0</v>
      </c>
      <c r="O8" s="146">
        <f t="shared" si="0"/>
        <v>0</v>
      </c>
      <c r="P8" s="146"/>
      <c r="Q8" s="146">
        <f t="shared" si="0"/>
        <v>0</v>
      </c>
      <c r="R8" s="370">
        <f>SUM(R4:R7)</f>
        <v>3600000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ht="12">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ht="12">
      <c r="A12" s="149" t="s">
        <v>84</v>
      </c>
      <c r="B12" s="146">
        <f t="shared" ref="B12:Q12" si="2">SUM(B8+B11)</f>
        <v>3600000</v>
      </c>
      <c r="C12" s="146">
        <f t="shared" si="2"/>
        <v>3600000</v>
      </c>
      <c r="D12" s="146">
        <f t="shared" si="2"/>
        <v>0</v>
      </c>
      <c r="E12" s="146">
        <f t="shared" si="2"/>
        <v>2320000</v>
      </c>
      <c r="F12" s="146">
        <f t="shared" si="2"/>
        <v>0</v>
      </c>
      <c r="G12" s="146">
        <f t="shared" si="2"/>
        <v>0</v>
      </c>
      <c r="H12" s="146">
        <f t="shared" si="2"/>
        <v>0</v>
      </c>
      <c r="I12" s="146">
        <f t="shared" si="2"/>
        <v>0</v>
      </c>
      <c r="J12" s="146">
        <f t="shared" si="2"/>
        <v>1280000</v>
      </c>
      <c r="K12" s="146">
        <f t="shared" si="2"/>
        <v>0</v>
      </c>
      <c r="L12" s="146">
        <f t="shared" si="2"/>
        <v>0</v>
      </c>
      <c r="M12" s="146">
        <f t="shared" si="2"/>
        <v>0</v>
      </c>
      <c r="N12" s="146">
        <f t="shared" si="2"/>
        <v>0</v>
      </c>
      <c r="O12" s="146">
        <f t="shared" si="2"/>
        <v>0</v>
      </c>
      <c r="P12" s="146"/>
      <c r="Q12" s="146">
        <f t="shared" si="2"/>
        <v>0</v>
      </c>
      <c r="R12" s="370">
        <f>SUM(R8+R11)</f>
        <v>3600000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3799976</v>
      </c>
      <c r="C29" s="147">
        <f>379027+3420949</f>
        <v>3799976</v>
      </c>
      <c r="D29" s="147"/>
      <c r="E29" s="147">
        <f>+B29-H29</f>
        <v>2299976</v>
      </c>
      <c r="F29" s="147"/>
      <c r="G29" s="147"/>
      <c r="H29" s="147">
        <v>1500000</v>
      </c>
      <c r="I29" s="147"/>
      <c r="J29" s="147"/>
      <c r="K29" s="147"/>
      <c r="L29" s="147"/>
      <c r="M29" s="147"/>
      <c r="N29" s="147"/>
      <c r="O29" s="147"/>
      <c r="P29" s="147"/>
      <c r="Q29" s="147"/>
      <c r="R29" s="550">
        <f t="shared" ref="R29:R37" si="7">SUM(E29:Q29)</f>
        <v>3799976</v>
      </c>
      <c r="S29" s="147">
        <v>3420949</v>
      </c>
      <c r="T29" s="147"/>
      <c r="U29" s="143"/>
    </row>
    <row r="30" spans="1:21" s="144" customFormat="1">
      <c r="A30" s="145" t="s">
        <v>607</v>
      </c>
      <c r="B30" s="146">
        <f t="shared" si="6"/>
        <v>35915523</v>
      </c>
      <c r="C30" s="147">
        <v>35915523</v>
      </c>
      <c r="D30" s="147"/>
      <c r="E30" s="147">
        <f>+C30-F30</f>
        <v>7615523</v>
      </c>
      <c r="F30" s="147">
        <v>28300000</v>
      </c>
      <c r="G30" s="147"/>
      <c r="H30" s="147"/>
      <c r="I30" s="147"/>
      <c r="J30" s="147"/>
      <c r="K30" s="147"/>
      <c r="L30" s="147"/>
      <c r="M30" s="147"/>
      <c r="N30" s="147"/>
      <c r="O30" s="147"/>
      <c r="P30" s="147"/>
      <c r="Q30" s="147"/>
      <c r="R30" s="550">
        <f t="shared" si="7"/>
        <v>35915523</v>
      </c>
      <c r="S30" s="147">
        <f>+C30</f>
        <v>35915523</v>
      </c>
      <c r="T30" s="147"/>
      <c r="U30" s="143"/>
    </row>
    <row r="31" spans="1:21" s="144" customFormat="1">
      <c r="A31" s="145" t="s">
        <v>608</v>
      </c>
      <c r="B31" s="146">
        <f t="shared" si="6"/>
        <v>2382930</v>
      </c>
      <c r="C31" s="147">
        <v>2382930</v>
      </c>
      <c r="D31" s="147"/>
      <c r="E31" s="147">
        <f>+C31</f>
        <v>2382930</v>
      </c>
      <c r="F31" s="147"/>
      <c r="G31" s="147"/>
      <c r="H31" s="147"/>
      <c r="I31" s="147"/>
      <c r="J31" s="147"/>
      <c r="K31" s="147"/>
      <c r="L31" s="147"/>
      <c r="M31" s="147"/>
      <c r="N31" s="147"/>
      <c r="O31" s="147"/>
      <c r="P31" s="147"/>
      <c r="Q31" s="147"/>
      <c r="R31" s="550">
        <f t="shared" si="7"/>
        <v>2382930</v>
      </c>
      <c r="S31" s="147">
        <f t="shared" ref="S31:S33" si="8">+C31</f>
        <v>2382930</v>
      </c>
      <c r="T31" s="147"/>
      <c r="U31" s="143"/>
    </row>
    <row r="32" spans="1:21" s="144" customFormat="1">
      <c r="A32" s="145" t="s">
        <v>137</v>
      </c>
      <c r="B32" s="146">
        <f t="shared" si="6"/>
        <v>794310</v>
      </c>
      <c r="C32" s="147">
        <v>794310</v>
      </c>
      <c r="D32" s="147"/>
      <c r="E32" s="147">
        <f t="shared" ref="E32:E33" si="9">+C32</f>
        <v>794310</v>
      </c>
      <c r="F32" s="147"/>
      <c r="G32" s="147"/>
      <c r="H32" s="147"/>
      <c r="I32" s="147"/>
      <c r="J32" s="147"/>
      <c r="K32" s="147"/>
      <c r="L32" s="147"/>
      <c r="M32" s="147"/>
      <c r="N32" s="147"/>
      <c r="O32" s="147"/>
      <c r="P32" s="147"/>
      <c r="Q32" s="147"/>
      <c r="R32" s="550">
        <f t="shared" si="7"/>
        <v>794310</v>
      </c>
      <c r="S32" s="147">
        <f t="shared" si="8"/>
        <v>794310</v>
      </c>
      <c r="T32" s="147"/>
      <c r="U32" s="143"/>
    </row>
    <row r="33" spans="1:21" s="144" customFormat="1">
      <c r="A33" s="145" t="s">
        <v>138</v>
      </c>
      <c r="B33" s="146">
        <f t="shared" si="6"/>
        <v>2382930</v>
      </c>
      <c r="C33" s="147">
        <v>2382930</v>
      </c>
      <c r="D33" s="147"/>
      <c r="E33" s="147">
        <f t="shared" si="9"/>
        <v>2382930</v>
      </c>
      <c r="F33" s="147"/>
      <c r="G33" s="147"/>
      <c r="H33" s="147"/>
      <c r="I33" s="147"/>
      <c r="J33" s="147"/>
      <c r="K33" s="147"/>
      <c r="L33" s="147"/>
      <c r="M33" s="147"/>
      <c r="N33" s="147"/>
      <c r="O33" s="147"/>
      <c r="P33" s="147"/>
      <c r="Q33" s="147"/>
      <c r="R33" s="550">
        <f t="shared" si="7"/>
        <v>2382930</v>
      </c>
      <c r="S33" s="147">
        <f t="shared" si="8"/>
        <v>2382930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452757</v>
      </c>
      <c r="C35" s="147">
        <v>452757</v>
      </c>
      <c r="D35" s="147"/>
      <c r="E35" s="147">
        <f>+C35</f>
        <v>452757</v>
      </c>
      <c r="F35" s="147"/>
      <c r="G35" s="147"/>
      <c r="H35" s="147"/>
      <c r="I35" s="147"/>
      <c r="J35" s="147"/>
      <c r="K35" s="147"/>
      <c r="L35" s="147"/>
      <c r="M35" s="147"/>
      <c r="N35" s="147"/>
      <c r="O35" s="147"/>
      <c r="P35" s="147"/>
      <c r="Q35" s="147"/>
      <c r="R35" s="550">
        <f t="shared" si="7"/>
        <v>452757</v>
      </c>
      <c r="S35" s="147">
        <f>+C35</f>
        <v>452757</v>
      </c>
      <c r="T35" s="147"/>
      <c r="U35" s="143"/>
    </row>
    <row r="36" spans="1:21" s="144" customFormat="1">
      <c r="A36" s="304" t="s">
        <v>1753</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2649</v>
      </c>
      <c r="B37" s="146">
        <f t="shared" si="6"/>
        <v>452757</v>
      </c>
      <c r="C37" s="147">
        <v>452757</v>
      </c>
      <c r="D37" s="147"/>
      <c r="E37" s="147">
        <f>+C37</f>
        <v>452757</v>
      </c>
      <c r="F37" s="147"/>
      <c r="G37" s="147"/>
      <c r="H37" s="147"/>
      <c r="I37" s="147"/>
      <c r="J37" s="147"/>
      <c r="K37" s="147"/>
      <c r="L37" s="147"/>
      <c r="M37" s="147"/>
      <c r="N37" s="147"/>
      <c r="O37" s="147"/>
      <c r="P37" s="147"/>
      <c r="Q37" s="147"/>
      <c r="R37" s="550">
        <f t="shared" si="7"/>
        <v>452757</v>
      </c>
      <c r="S37" s="147">
        <f>+C37</f>
        <v>452757</v>
      </c>
      <c r="T37" s="147"/>
      <c r="U37" s="143"/>
    </row>
    <row r="38" spans="1:21" s="144" customFormat="1" ht="12">
      <c r="A38" s="149" t="s">
        <v>143</v>
      </c>
      <c r="B38" s="146">
        <f t="shared" si="6"/>
        <v>46181183</v>
      </c>
      <c r="C38" s="146">
        <f>SUM(C29:C37)</f>
        <v>46181183</v>
      </c>
      <c r="D38" s="146">
        <f t="shared" ref="D38:Q38" si="10">SUM(D29:D37)</f>
        <v>0</v>
      </c>
      <c r="E38" s="146">
        <f t="shared" si="10"/>
        <v>16381183</v>
      </c>
      <c r="F38" s="146">
        <f t="shared" si="10"/>
        <v>28300000</v>
      </c>
      <c r="G38" s="146">
        <f t="shared" si="10"/>
        <v>0</v>
      </c>
      <c r="H38" s="146">
        <f t="shared" si="10"/>
        <v>1500000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46181183</v>
      </c>
      <c r="S38" s="150">
        <f>SUM(S29:S37)</f>
        <v>45802156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980000</v>
      </c>
      <c r="C40" s="147">
        <v>980000</v>
      </c>
      <c r="D40" s="147"/>
      <c r="E40" s="147">
        <f>+C40</f>
        <v>980000</v>
      </c>
      <c r="F40" s="147"/>
      <c r="G40" s="147"/>
      <c r="H40" s="147"/>
      <c r="I40" s="147"/>
      <c r="J40" s="147"/>
      <c r="K40" s="147"/>
      <c r="L40" s="147"/>
      <c r="M40" s="147"/>
      <c r="N40" s="147"/>
      <c r="O40" s="147"/>
      <c r="P40" s="147"/>
      <c r="Q40" s="147"/>
      <c r="R40" s="550">
        <f>SUM(E40:Q40)</f>
        <v>980000</v>
      </c>
      <c r="S40" s="147">
        <f>+C40</f>
        <v>980000</v>
      </c>
      <c r="T40" s="147"/>
      <c r="U40" s="143"/>
    </row>
    <row r="41" spans="1:21" s="144" customFormat="1">
      <c r="A41" s="145" t="s">
        <v>146</v>
      </c>
      <c r="B41" s="146">
        <f>SUM(C41+D41)</f>
        <v>120000</v>
      </c>
      <c r="C41" s="147">
        <v>120000</v>
      </c>
      <c r="D41" s="147"/>
      <c r="E41" s="147">
        <f>+C41</f>
        <v>120000</v>
      </c>
      <c r="F41" s="147"/>
      <c r="G41" s="147"/>
      <c r="H41" s="147"/>
      <c r="I41" s="147"/>
      <c r="J41" s="147"/>
      <c r="K41" s="147"/>
      <c r="L41" s="147"/>
      <c r="M41" s="147"/>
      <c r="N41" s="147"/>
      <c r="O41" s="147"/>
      <c r="P41" s="147"/>
      <c r="Q41" s="147"/>
      <c r="R41" s="550">
        <f>SUM(E41:Q41)</f>
        <v>120000</v>
      </c>
      <c r="S41" s="147">
        <f>+R41</f>
        <v>120000</v>
      </c>
      <c r="T41" s="147"/>
      <c r="U41" s="143"/>
    </row>
    <row r="42" spans="1:21" s="144" customFormat="1" ht="12">
      <c r="A42" s="149" t="s">
        <v>147</v>
      </c>
      <c r="B42" s="146">
        <f>SUM(C42:D42)</f>
        <v>1100000</v>
      </c>
      <c r="C42" s="146">
        <f>SUM(C39:C41)</f>
        <v>1100000</v>
      </c>
      <c r="D42" s="146">
        <f>SUM(D39:D41)</f>
        <v>0</v>
      </c>
      <c r="E42" s="146">
        <f t="shared" ref="E42:T42" si="11">SUM(E40:E41)</f>
        <v>1100000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1100000</v>
      </c>
      <c r="S42" s="150">
        <f t="shared" si="11"/>
        <v>1100000</v>
      </c>
      <c r="T42" s="150">
        <f t="shared" si="11"/>
        <v>0</v>
      </c>
      <c r="U42" s="143"/>
    </row>
    <row r="43" spans="1:21" s="144" customFormat="1" ht="12">
      <c r="A43" s="149" t="s">
        <v>148</v>
      </c>
      <c r="B43" s="146">
        <f>SUM(C43:D43)</f>
        <v>0</v>
      </c>
      <c r="C43" s="147"/>
      <c r="D43" s="147"/>
      <c r="E43" s="147"/>
      <c r="F43" s="147"/>
      <c r="G43" s="147"/>
      <c r="H43" s="147"/>
      <c r="I43" s="147"/>
      <c r="J43" s="147"/>
      <c r="K43" s="147"/>
      <c r="L43" s="147"/>
      <c r="M43" s="147"/>
      <c r="N43" s="147"/>
      <c r="O43" s="147"/>
      <c r="P43" s="147"/>
      <c r="Q43" s="147"/>
      <c r="R43" s="550">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3887718</v>
      </c>
      <c r="C45" s="147">
        <v>3887718</v>
      </c>
      <c r="D45" s="147"/>
      <c r="E45" s="147">
        <f t="shared" ref="E45:E46" si="13">+C45</f>
        <v>3887718</v>
      </c>
      <c r="F45" s="147"/>
      <c r="G45" s="147"/>
      <c r="H45" s="147"/>
      <c r="I45" s="147"/>
      <c r="J45" s="147"/>
      <c r="K45" s="147"/>
      <c r="L45" s="147"/>
      <c r="M45" s="147"/>
      <c r="N45" s="147"/>
      <c r="O45" s="147"/>
      <c r="P45" s="147"/>
      <c r="Q45" s="147"/>
      <c r="R45" s="550">
        <f t="shared" ref="R45:R53" si="14">SUM(E45:Q45)</f>
        <v>3887718</v>
      </c>
      <c r="S45" s="147">
        <f>3110174+1</f>
        <v>3110175</v>
      </c>
      <c r="T45" s="147"/>
      <c r="U45" s="143"/>
    </row>
    <row r="46" spans="1:21" s="144" customFormat="1">
      <c r="A46" s="145" t="s">
        <v>151</v>
      </c>
      <c r="B46" s="146">
        <f t="shared" si="12"/>
        <v>458000</v>
      </c>
      <c r="C46" s="147">
        <v>458000</v>
      </c>
      <c r="D46" s="147"/>
      <c r="E46" s="147">
        <f t="shared" si="13"/>
        <v>458000</v>
      </c>
      <c r="F46" s="147"/>
      <c r="G46" s="147"/>
      <c r="H46" s="147"/>
      <c r="I46" s="147"/>
      <c r="J46" s="147"/>
      <c r="K46" s="147"/>
      <c r="L46" s="147"/>
      <c r="M46" s="147"/>
      <c r="N46" s="147"/>
      <c r="O46" s="147"/>
      <c r="P46" s="147"/>
      <c r="Q46" s="147"/>
      <c r="R46" s="550">
        <f t="shared" si="14"/>
        <v>458000</v>
      </c>
      <c r="S46" s="147">
        <f>+C46</f>
        <v>458000</v>
      </c>
      <c r="T46" s="147"/>
      <c r="U46" s="143"/>
    </row>
    <row r="47" spans="1:21" s="144" customFormat="1">
      <c r="A47" s="198" t="s">
        <v>152</v>
      </c>
      <c r="B47" s="146">
        <f t="shared" si="12"/>
        <v>0</v>
      </c>
      <c r="C47" s="147"/>
      <c r="D47" s="147"/>
      <c r="E47" s="147"/>
      <c r="F47" s="147"/>
      <c r="G47" s="147"/>
      <c r="H47" s="147"/>
      <c r="I47" s="147"/>
      <c r="J47" s="147"/>
      <c r="K47" s="147"/>
      <c r="L47" s="147"/>
      <c r="M47" s="147"/>
      <c r="N47" s="147"/>
      <c r="O47" s="147"/>
      <c r="P47" s="147"/>
      <c r="Q47" s="147"/>
      <c r="R47" s="550">
        <f t="shared" si="14"/>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50">
        <f t="shared" si="14"/>
        <v>0</v>
      </c>
      <c r="S48" s="147"/>
      <c r="T48" s="147"/>
      <c r="U48" s="143"/>
    </row>
    <row r="49" spans="1:21" s="144" customFormat="1">
      <c r="A49" s="145" t="s">
        <v>57</v>
      </c>
      <c r="B49" s="146">
        <f t="shared" si="12"/>
        <v>0</v>
      </c>
      <c r="C49" s="147"/>
      <c r="D49" s="147"/>
      <c r="E49" s="147"/>
      <c r="F49" s="147"/>
      <c r="G49" s="147"/>
      <c r="H49" s="147"/>
      <c r="I49" s="147"/>
      <c r="J49" s="147"/>
      <c r="K49" s="147"/>
      <c r="L49" s="147"/>
      <c r="M49" s="147"/>
      <c r="N49" s="147"/>
      <c r="O49" s="147"/>
      <c r="P49" s="147"/>
      <c r="Q49" s="147"/>
      <c r="R49" s="550">
        <f t="shared" si="14"/>
        <v>0</v>
      </c>
      <c r="S49" s="147"/>
      <c r="T49" s="147"/>
      <c r="U49" s="143"/>
    </row>
    <row r="50" spans="1:21" s="144" customFormat="1">
      <c r="A50" s="145" t="s">
        <v>156</v>
      </c>
      <c r="B50" s="146">
        <f t="shared" si="12"/>
        <v>11000</v>
      </c>
      <c r="C50" s="147">
        <v>11000</v>
      </c>
      <c r="D50" s="147"/>
      <c r="E50" s="147">
        <f t="shared" ref="E50:E53" si="15">+C50</f>
        <v>11000</v>
      </c>
      <c r="F50" s="147"/>
      <c r="G50" s="147"/>
      <c r="H50" s="147"/>
      <c r="I50" s="147"/>
      <c r="J50" s="147"/>
      <c r="K50" s="147"/>
      <c r="L50" s="147"/>
      <c r="M50" s="147"/>
      <c r="N50" s="147"/>
      <c r="O50" s="147"/>
      <c r="P50" s="147"/>
      <c r="Q50" s="147"/>
      <c r="R50" s="550">
        <f t="shared" si="14"/>
        <v>11000</v>
      </c>
      <c r="S50" s="147">
        <f t="shared" ref="S50:S52" si="16">+C50</f>
        <v>11000</v>
      </c>
      <c r="T50" s="147"/>
      <c r="U50" s="143"/>
    </row>
    <row r="51" spans="1:21" s="144" customFormat="1">
      <c r="A51" s="304" t="s">
        <v>154</v>
      </c>
      <c r="B51" s="146">
        <f t="shared" si="12"/>
        <v>20000</v>
      </c>
      <c r="C51" s="147">
        <v>20000</v>
      </c>
      <c r="D51" s="147"/>
      <c r="E51" s="147">
        <f t="shared" si="15"/>
        <v>20000</v>
      </c>
      <c r="F51" s="147"/>
      <c r="G51" s="147"/>
      <c r="H51" s="147"/>
      <c r="I51" s="147"/>
      <c r="J51" s="147"/>
      <c r="K51" s="147"/>
      <c r="L51" s="147"/>
      <c r="M51" s="147"/>
      <c r="N51" s="147"/>
      <c r="O51" s="147"/>
      <c r="P51" s="147"/>
      <c r="Q51" s="147"/>
      <c r="R51" s="550">
        <f t="shared" si="14"/>
        <v>20000</v>
      </c>
      <c r="S51" s="147">
        <f t="shared" si="16"/>
        <v>20000</v>
      </c>
      <c r="T51" s="147"/>
      <c r="U51" s="143"/>
    </row>
    <row r="52" spans="1:21" s="144" customFormat="1">
      <c r="A52" s="145" t="s">
        <v>155</v>
      </c>
      <c r="B52" s="146">
        <f t="shared" si="12"/>
        <v>20000</v>
      </c>
      <c r="C52" s="147">
        <v>20000</v>
      </c>
      <c r="D52" s="147"/>
      <c r="E52" s="147">
        <f t="shared" si="15"/>
        <v>20000</v>
      </c>
      <c r="F52" s="147"/>
      <c r="G52" s="147"/>
      <c r="H52" s="147"/>
      <c r="I52" s="147"/>
      <c r="J52" s="147"/>
      <c r="K52" s="147"/>
      <c r="L52" s="147"/>
      <c r="M52" s="147"/>
      <c r="N52" s="147"/>
      <c r="O52" s="147"/>
      <c r="P52" s="147"/>
      <c r="Q52" s="147"/>
      <c r="R52" s="550">
        <f t="shared" si="14"/>
        <v>20000</v>
      </c>
      <c r="S52" s="147">
        <f t="shared" si="16"/>
        <v>20000</v>
      </c>
      <c r="T52" s="147"/>
      <c r="U52" s="143"/>
    </row>
    <row r="53" spans="1:21" s="144" customFormat="1">
      <c r="A53" s="1193" t="s">
        <v>2653</v>
      </c>
      <c r="B53" s="146">
        <f t="shared" si="12"/>
        <v>208918</v>
      </c>
      <c r="C53" s="147">
        <v>208918</v>
      </c>
      <c r="D53" s="147"/>
      <c r="E53" s="147">
        <f t="shared" si="15"/>
        <v>208918</v>
      </c>
      <c r="F53" s="147"/>
      <c r="G53" s="147"/>
      <c r="H53" s="147"/>
      <c r="I53" s="147"/>
      <c r="J53" s="147"/>
      <c r="K53" s="147"/>
      <c r="L53" s="147"/>
      <c r="M53" s="147"/>
      <c r="N53" s="147"/>
      <c r="O53" s="147"/>
      <c r="P53" s="147"/>
      <c r="Q53" s="147"/>
      <c r="R53" s="550">
        <f t="shared" si="14"/>
        <v>208918</v>
      </c>
      <c r="S53" s="147"/>
      <c r="T53" s="147"/>
      <c r="U53" s="143"/>
    </row>
    <row r="54" spans="1:21" s="153" customFormat="1" ht="12">
      <c r="A54" s="149" t="s">
        <v>157</v>
      </c>
      <c r="B54" s="150">
        <f>SUM(C54:D54)</f>
        <v>4605636</v>
      </c>
      <c r="C54" s="150">
        <f t="shared" ref="C54:T54" si="17">SUM(C45:C53)</f>
        <v>4605636</v>
      </c>
      <c r="D54" s="150">
        <f t="shared" si="17"/>
        <v>0</v>
      </c>
      <c r="E54" s="150">
        <f t="shared" si="17"/>
        <v>4605636</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0">
        <f t="shared" si="17"/>
        <v>4605636</v>
      </c>
      <c r="S54" s="150">
        <f t="shared" si="17"/>
        <v>3619175</v>
      </c>
      <c r="T54" s="150">
        <f t="shared" si="17"/>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0</v>
      </c>
      <c r="C56" s="147"/>
      <c r="D56" s="147"/>
      <c r="E56" s="147"/>
      <c r="F56" s="147"/>
      <c r="G56" s="147"/>
      <c r="H56" s="147"/>
      <c r="I56" s="147"/>
      <c r="J56" s="147"/>
      <c r="K56" s="147"/>
      <c r="L56" s="147"/>
      <c r="M56" s="147"/>
      <c r="N56" s="147"/>
      <c r="O56" s="147"/>
      <c r="P56" s="147"/>
      <c r="Q56" s="147"/>
      <c r="R56" s="550">
        <f t="shared" ref="R56:R61" si="19">SUM(E56:Q56)</f>
        <v>0</v>
      </c>
      <c r="S56" s="148"/>
      <c r="T56" s="148"/>
      <c r="U56" s="143"/>
    </row>
    <row r="57" spans="1:21" s="204" customFormat="1">
      <c r="A57" s="198" t="s">
        <v>152</v>
      </c>
      <c r="B57" s="205">
        <f t="shared" si="18"/>
        <v>0</v>
      </c>
      <c r="C57" s="202"/>
      <c r="D57" s="202"/>
      <c r="E57" s="202"/>
      <c r="F57" s="202"/>
      <c r="G57" s="202"/>
      <c r="H57" s="202"/>
      <c r="I57" s="202"/>
      <c r="J57" s="202"/>
      <c r="K57" s="202"/>
      <c r="L57" s="202"/>
      <c r="M57" s="202"/>
      <c r="N57" s="202"/>
      <c r="O57" s="202"/>
      <c r="P57" s="202"/>
      <c r="Q57" s="202"/>
      <c r="R57" s="550">
        <f t="shared" si="19"/>
        <v>0</v>
      </c>
      <c r="S57" s="206"/>
      <c r="T57" s="206"/>
      <c r="U57" s="203"/>
    </row>
    <row r="58" spans="1:21" s="144" customFormat="1">
      <c r="A58" s="145" t="s">
        <v>156</v>
      </c>
      <c r="B58" s="146">
        <f t="shared" si="18"/>
        <v>75000</v>
      </c>
      <c r="C58" s="147">
        <v>75000</v>
      </c>
      <c r="D58" s="147"/>
      <c r="E58" s="147">
        <f>+C58</f>
        <v>75000</v>
      </c>
      <c r="F58" s="147"/>
      <c r="G58" s="147"/>
      <c r="H58" s="147"/>
      <c r="I58" s="147"/>
      <c r="J58" s="147"/>
      <c r="K58" s="147"/>
      <c r="L58" s="147"/>
      <c r="M58" s="147"/>
      <c r="N58" s="147"/>
      <c r="O58" s="147"/>
      <c r="P58" s="147"/>
      <c r="Q58" s="147"/>
      <c r="R58" s="550">
        <f t="shared" si="19"/>
        <v>75000</v>
      </c>
      <c r="S58" s="148"/>
      <c r="T58" s="148"/>
      <c r="U58" s="143"/>
    </row>
    <row r="59" spans="1:21" s="144" customFormat="1">
      <c r="A59" s="304" t="s">
        <v>154</v>
      </c>
      <c r="B59" s="146">
        <f t="shared" si="18"/>
        <v>0</v>
      </c>
      <c r="C59" s="147"/>
      <c r="D59" s="147"/>
      <c r="E59" s="147"/>
      <c r="F59" s="147"/>
      <c r="G59" s="147"/>
      <c r="H59" s="147"/>
      <c r="I59" s="147"/>
      <c r="J59" s="147"/>
      <c r="K59" s="147"/>
      <c r="L59" s="147"/>
      <c r="M59" s="147"/>
      <c r="N59" s="147"/>
      <c r="O59" s="147"/>
      <c r="P59" s="147"/>
      <c r="Q59" s="147"/>
      <c r="R59" s="550">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50">
        <f t="shared" si="19"/>
        <v>0</v>
      </c>
      <c r="S60" s="148"/>
      <c r="T60" s="148"/>
      <c r="U60" s="143"/>
    </row>
    <row r="61" spans="1:21" s="144" customFormat="1">
      <c r="A61" s="1193"/>
      <c r="B61" s="146">
        <f t="shared" si="18"/>
        <v>0</v>
      </c>
      <c r="C61" s="147"/>
      <c r="D61" s="147"/>
      <c r="E61" s="147"/>
      <c r="F61" s="147"/>
      <c r="G61" s="147"/>
      <c r="H61" s="147"/>
      <c r="I61" s="147"/>
      <c r="J61" s="147"/>
      <c r="K61" s="147"/>
      <c r="L61" s="147"/>
      <c r="M61" s="147"/>
      <c r="N61" s="147"/>
      <c r="O61" s="147"/>
      <c r="P61" s="147"/>
      <c r="Q61" s="147"/>
      <c r="R61" s="550">
        <f t="shared" si="19"/>
        <v>0</v>
      </c>
      <c r="S61" s="148"/>
      <c r="T61" s="148"/>
      <c r="U61" s="143"/>
    </row>
    <row r="62" spans="1:21" s="144" customFormat="1" ht="13.65" customHeight="1">
      <c r="A62" s="149" t="s">
        <v>302</v>
      </c>
      <c r="B62" s="146">
        <f>SUM(C62:D62)</f>
        <v>75000</v>
      </c>
      <c r="C62" s="146">
        <f t="shared" ref="C62:R62" si="20">SUM(C56:C61)</f>
        <v>75000</v>
      </c>
      <c r="D62" s="146">
        <f t="shared" si="20"/>
        <v>0</v>
      </c>
      <c r="E62" s="146">
        <f t="shared" si="20"/>
        <v>75000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0">
        <f t="shared" si="20"/>
        <v>75000</v>
      </c>
      <c r="S62" s="148"/>
      <c r="T62" s="148"/>
      <c r="U62" s="143"/>
    </row>
    <row r="63" spans="1:21" s="144" customFormat="1">
      <c r="A63" s="154" t="s">
        <v>303</v>
      </c>
      <c r="B63" s="146">
        <f t="shared" ref="B63:R63" si="21">SUM(B8+B11+B13+B14+B15+B26+B27+B38+B42+B43+B54+B62)</f>
        <v>55561819</v>
      </c>
      <c r="C63" s="146">
        <f t="shared" si="21"/>
        <v>55561819</v>
      </c>
      <c r="D63" s="146">
        <f t="shared" si="21"/>
        <v>0</v>
      </c>
      <c r="E63" s="146">
        <f t="shared" si="21"/>
        <v>24481819</v>
      </c>
      <c r="F63" s="146">
        <f t="shared" si="21"/>
        <v>28300000</v>
      </c>
      <c r="G63" s="146">
        <f t="shared" si="21"/>
        <v>0</v>
      </c>
      <c r="H63" s="146">
        <f t="shared" si="21"/>
        <v>1500000</v>
      </c>
      <c r="I63" s="146">
        <f t="shared" si="21"/>
        <v>0</v>
      </c>
      <c r="J63" s="146">
        <f t="shared" si="21"/>
        <v>1280000</v>
      </c>
      <c r="K63" s="146">
        <f t="shared" si="21"/>
        <v>0</v>
      </c>
      <c r="L63" s="146">
        <f t="shared" si="21"/>
        <v>0</v>
      </c>
      <c r="M63" s="146">
        <f t="shared" si="21"/>
        <v>0</v>
      </c>
      <c r="N63" s="146">
        <f t="shared" si="21"/>
        <v>0</v>
      </c>
      <c r="O63" s="146">
        <f t="shared" si="21"/>
        <v>0</v>
      </c>
      <c r="P63" s="146">
        <f t="shared" si="21"/>
        <v>0</v>
      </c>
      <c r="Q63" s="146">
        <f t="shared" si="21"/>
        <v>0</v>
      </c>
      <c r="R63" s="370">
        <f t="shared" si="21"/>
        <v>55561819</v>
      </c>
      <c r="S63" s="146">
        <f>SUM(S10+S13+S14+S15+S26+S27+S38+S42+S43+S54)</f>
        <v>50521331</v>
      </c>
      <c r="T63" s="146">
        <f>SUM(T11+T13+T14+T15+T26+T27+T38+T42+T43+T54)</f>
        <v>0</v>
      </c>
      <c r="U63" s="143"/>
    </row>
    <row r="64" spans="1:21" s="144" customFormat="1" ht="22.8">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50">
        <f>SUM(E65:Q65)</f>
        <v>0</v>
      </c>
      <c r="S65" s="147"/>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2654</v>
      </c>
      <c r="B69" s="146">
        <f>SUM(C69+D69)</f>
        <v>202500</v>
      </c>
      <c r="C69" s="147">
        <v>202500</v>
      </c>
      <c r="D69" s="147"/>
      <c r="E69" s="147">
        <f>+C69</f>
        <v>202500</v>
      </c>
      <c r="F69" s="147"/>
      <c r="G69" s="147"/>
      <c r="H69" s="147"/>
      <c r="I69" s="147"/>
      <c r="J69" s="147"/>
      <c r="K69" s="147"/>
      <c r="L69" s="147"/>
      <c r="M69" s="147"/>
      <c r="N69" s="147"/>
      <c r="O69" s="147"/>
      <c r="P69" s="147"/>
      <c r="Q69" s="147"/>
      <c r="R69" s="550">
        <f>SUM(E69:Q69)</f>
        <v>202500</v>
      </c>
      <c r="S69" s="147">
        <v>200000</v>
      </c>
      <c r="T69" s="147"/>
      <c r="U69" s="143"/>
    </row>
    <row r="70" spans="1:21" s="144" customFormat="1" ht="12">
      <c r="A70" s="149" t="s">
        <v>1758</v>
      </c>
      <c r="B70" s="146">
        <f>SUM(C70:D70)</f>
        <v>202500</v>
      </c>
      <c r="C70" s="146">
        <f>SUM(C65:C69)</f>
        <v>202500</v>
      </c>
      <c r="D70" s="146">
        <f>SUM(D65:D69)</f>
        <v>0</v>
      </c>
      <c r="E70" s="146">
        <f t="shared" ref="E70:T70" si="22">SUM(E65:E69)</f>
        <v>202500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0">
        <f t="shared" si="22"/>
        <v>202500</v>
      </c>
      <c r="S70" s="150">
        <f t="shared" si="22"/>
        <v>200000</v>
      </c>
      <c r="T70" s="150">
        <f t="shared" si="22"/>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500000</v>
      </c>
      <c r="C72" s="147">
        <v>500000</v>
      </c>
      <c r="D72" s="147"/>
      <c r="E72" s="147">
        <f>+C72</f>
        <v>500000</v>
      </c>
      <c r="F72" s="147"/>
      <c r="G72" s="147"/>
      <c r="H72" s="147"/>
      <c r="I72" s="147"/>
      <c r="J72" s="147"/>
      <c r="K72" s="147"/>
      <c r="L72" s="147"/>
      <c r="M72" s="147"/>
      <c r="N72" s="147"/>
      <c r="O72" s="147"/>
      <c r="P72" s="147"/>
      <c r="Q72" s="147"/>
      <c r="R72" s="550">
        <f>SUM(E72:Q72)</f>
        <v>500000</v>
      </c>
      <c r="S72" s="148"/>
      <c r="T72" s="148"/>
      <c r="U72" s="143"/>
    </row>
    <row r="73" spans="1:21" s="144" customFormat="1">
      <c r="A73" s="145" t="s">
        <v>612</v>
      </c>
      <c r="B73" s="146">
        <f>SUM(C73+D73)</f>
        <v>500000</v>
      </c>
      <c r="C73" s="147">
        <v>500000</v>
      </c>
      <c r="D73" s="147"/>
      <c r="E73" s="147">
        <f>+C73</f>
        <v>500000</v>
      </c>
      <c r="F73" s="147"/>
      <c r="G73" s="147"/>
      <c r="H73" s="147"/>
      <c r="I73" s="147"/>
      <c r="J73" s="147"/>
      <c r="K73" s="147"/>
      <c r="L73" s="147"/>
      <c r="M73" s="147"/>
      <c r="N73" s="147"/>
      <c r="O73" s="147"/>
      <c r="P73" s="147"/>
      <c r="Q73" s="147"/>
      <c r="R73" s="550">
        <f>SUM(E73:Q73)</f>
        <v>500000</v>
      </c>
      <c r="S73" s="148"/>
      <c r="T73" s="148"/>
      <c r="U73" s="143"/>
    </row>
    <row r="74" spans="1:21" s="144" customFormat="1">
      <c r="A74" s="484" t="s">
        <v>1007</v>
      </c>
      <c r="B74" s="146">
        <f>SUM(C74+D74)</f>
        <v>166000</v>
      </c>
      <c r="C74" s="147">
        <v>166000</v>
      </c>
      <c r="D74" s="147"/>
      <c r="E74" s="147">
        <f t="shared" ref="E74:E75" si="23">+C74</f>
        <v>166000</v>
      </c>
      <c r="F74" s="147"/>
      <c r="G74" s="147"/>
      <c r="H74" s="147"/>
      <c r="I74" s="147"/>
      <c r="J74" s="147"/>
      <c r="K74" s="147"/>
      <c r="L74" s="147"/>
      <c r="M74" s="147"/>
      <c r="N74" s="147"/>
      <c r="O74" s="147"/>
      <c r="P74" s="147"/>
      <c r="Q74" s="147"/>
      <c r="R74" s="550">
        <f>SUM(E74:Q74)</f>
        <v>166000</v>
      </c>
      <c r="S74" s="148"/>
      <c r="T74" s="148"/>
      <c r="U74" s="143"/>
    </row>
    <row r="75" spans="1:21" s="144" customFormat="1">
      <c r="A75" s="145" t="s">
        <v>613</v>
      </c>
      <c r="B75" s="146">
        <f>SUM(C75+D75)</f>
        <v>1502231</v>
      </c>
      <c r="C75" s="147">
        <v>1502231</v>
      </c>
      <c r="D75" s="147"/>
      <c r="E75" s="147">
        <f t="shared" si="23"/>
        <v>1502231</v>
      </c>
      <c r="F75" s="147"/>
      <c r="G75" s="147"/>
      <c r="H75" s="147"/>
      <c r="I75" s="147"/>
      <c r="J75" s="147"/>
      <c r="K75" s="147"/>
      <c r="L75" s="147"/>
      <c r="M75" s="147"/>
      <c r="N75" s="147"/>
      <c r="O75" s="147"/>
      <c r="P75" s="147"/>
      <c r="Q75" s="147"/>
      <c r="R75" s="550">
        <f>SUM(E75:Q75)</f>
        <v>1502231</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ht="12">
      <c r="A77" s="149" t="s">
        <v>614</v>
      </c>
      <c r="B77" s="146">
        <f>SUM(C77:D77)</f>
        <v>2668231</v>
      </c>
      <c r="C77" s="146">
        <f>SUM(C72:C76)</f>
        <v>2668231</v>
      </c>
      <c r="D77" s="146">
        <f>SUM(D72:D76)</f>
        <v>0</v>
      </c>
      <c r="E77" s="146">
        <f t="shared" ref="E77:Q77" si="24">SUM(E72:E76)</f>
        <v>2668231</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0">
        <f>SUM(R72:R76)</f>
        <v>2668231</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2263784</v>
      </c>
      <c r="C79" s="147">
        <v>2263784</v>
      </c>
      <c r="D79" s="147"/>
      <c r="E79" s="147">
        <f t="shared" ref="E79:E80" si="25">+C79</f>
        <v>2263784</v>
      </c>
      <c r="F79" s="147"/>
      <c r="G79" s="147"/>
      <c r="H79" s="147"/>
      <c r="I79" s="147"/>
      <c r="J79" s="147"/>
      <c r="K79" s="147"/>
      <c r="L79" s="147"/>
      <c r="M79" s="147"/>
      <c r="N79" s="147"/>
      <c r="O79" s="147"/>
      <c r="P79" s="147"/>
      <c r="Q79" s="147"/>
      <c r="R79" s="550">
        <f>SUM(E79:Q79)</f>
        <v>2263784</v>
      </c>
      <c r="S79" s="147">
        <v>1131892</v>
      </c>
      <c r="T79" s="147"/>
      <c r="U79" s="143"/>
    </row>
    <row r="80" spans="1:21" s="144" customFormat="1">
      <c r="A80" s="304" t="s">
        <v>58</v>
      </c>
      <c r="B80" s="146">
        <f>SUM(C80:D80)</f>
        <v>100000</v>
      </c>
      <c r="C80" s="147">
        <v>100000</v>
      </c>
      <c r="D80" s="147"/>
      <c r="E80" s="147">
        <f t="shared" si="25"/>
        <v>100000</v>
      </c>
      <c r="F80" s="147"/>
      <c r="G80" s="147"/>
      <c r="H80" s="147"/>
      <c r="I80" s="147"/>
      <c r="J80" s="147"/>
      <c r="K80" s="147"/>
      <c r="L80" s="147"/>
      <c r="M80" s="147"/>
      <c r="N80" s="147"/>
      <c r="O80" s="147"/>
      <c r="P80" s="147"/>
      <c r="Q80" s="147"/>
      <c r="R80" s="550">
        <f>SUM(E80:Q80)</f>
        <v>100000</v>
      </c>
      <c r="S80" s="147">
        <f>+C80</f>
        <v>100000</v>
      </c>
      <c r="T80" s="147"/>
      <c r="U80" s="143"/>
    </row>
    <row r="81" spans="1:21" s="144" customFormat="1" ht="12">
      <c r="A81" s="149" t="s">
        <v>1315</v>
      </c>
      <c r="B81" s="146">
        <f>SUM(C81:D81)</f>
        <v>2363784</v>
      </c>
      <c r="C81" s="543">
        <f>SUM(C79:C80)</f>
        <v>2363784</v>
      </c>
      <c r="D81" s="543">
        <f t="shared" ref="D81:T81" si="26">SUM(D79:D80)</f>
        <v>0</v>
      </c>
      <c r="E81" s="543">
        <f t="shared" si="26"/>
        <v>2363784</v>
      </c>
      <c r="F81" s="543">
        <f t="shared" si="26"/>
        <v>0</v>
      </c>
      <c r="G81" s="543">
        <f t="shared" si="26"/>
        <v>0</v>
      </c>
      <c r="H81" s="543">
        <f t="shared" si="26"/>
        <v>0</v>
      </c>
      <c r="I81" s="543">
        <f t="shared" si="26"/>
        <v>0</v>
      </c>
      <c r="J81" s="543">
        <f t="shared" si="26"/>
        <v>0</v>
      </c>
      <c r="K81" s="543">
        <f t="shared" si="26"/>
        <v>0</v>
      </c>
      <c r="L81" s="543">
        <f t="shared" si="26"/>
        <v>0</v>
      </c>
      <c r="M81" s="543">
        <f t="shared" si="26"/>
        <v>0</v>
      </c>
      <c r="N81" s="543">
        <f t="shared" si="26"/>
        <v>0</v>
      </c>
      <c r="O81" s="543">
        <f t="shared" si="26"/>
        <v>0</v>
      </c>
      <c r="P81" s="543">
        <f t="shared" si="26"/>
        <v>0</v>
      </c>
      <c r="Q81" s="543">
        <f t="shared" si="26"/>
        <v>0</v>
      </c>
      <c r="R81" s="543">
        <f t="shared" si="26"/>
        <v>2363784</v>
      </c>
      <c r="S81" s="543">
        <f t="shared" si="26"/>
        <v>1231892</v>
      </c>
      <c r="T81" s="543">
        <f t="shared" si="26"/>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65" customHeight="1">
      <c r="A83" s="145" t="s">
        <v>2408</v>
      </c>
      <c r="B83" s="146">
        <f t="shared" ref="B83:B95" si="27">SUM(C83+D83)</f>
        <v>265310</v>
      </c>
      <c r="C83" s="147">
        <f>109110+156200</f>
        <v>265310</v>
      </c>
      <c r="D83" s="147"/>
      <c r="E83" s="147">
        <f t="shared" ref="E83:E84" si="28">+C83</f>
        <v>265310</v>
      </c>
      <c r="F83" s="147"/>
      <c r="G83" s="147"/>
      <c r="H83" s="147"/>
      <c r="I83" s="147"/>
      <c r="J83" s="147"/>
      <c r="K83" s="147"/>
      <c r="L83" s="147"/>
      <c r="M83" s="147"/>
      <c r="N83" s="147"/>
      <c r="O83" s="147"/>
      <c r="P83" s="147"/>
      <c r="Q83" s="147"/>
      <c r="R83" s="550">
        <f t="shared" ref="R83:R95" si="29">SUM(E83:Q83)</f>
        <v>265310</v>
      </c>
      <c r="S83" s="148"/>
      <c r="T83" s="148"/>
      <c r="U83" s="143"/>
    </row>
    <row r="84" spans="1:21" s="144" customFormat="1">
      <c r="A84" s="145" t="s">
        <v>776</v>
      </c>
      <c r="B84" s="146">
        <f t="shared" si="27"/>
        <v>10000</v>
      </c>
      <c r="C84" s="147">
        <v>10000</v>
      </c>
      <c r="D84" s="147"/>
      <c r="E84" s="147">
        <f t="shared" si="28"/>
        <v>10000</v>
      </c>
      <c r="F84" s="147"/>
      <c r="G84" s="147"/>
      <c r="H84" s="147"/>
      <c r="I84" s="147"/>
      <c r="J84" s="147"/>
      <c r="K84" s="147"/>
      <c r="L84" s="147"/>
      <c r="M84" s="147"/>
      <c r="N84" s="147"/>
      <c r="O84" s="147"/>
      <c r="P84" s="147"/>
      <c r="Q84" s="147"/>
      <c r="R84" s="550">
        <f t="shared" si="29"/>
        <v>10000</v>
      </c>
      <c r="S84" s="147">
        <f>+C84</f>
        <v>10000</v>
      </c>
      <c r="T84" s="147"/>
      <c r="U84" s="143"/>
    </row>
    <row r="85" spans="1:21" s="144" customFormat="1">
      <c r="A85" s="145" t="s">
        <v>777</v>
      </c>
      <c r="B85" s="146">
        <f t="shared" si="27"/>
        <v>7863853</v>
      </c>
      <c r="C85" s="147">
        <f>9157949-1294096</f>
        <v>7863853</v>
      </c>
      <c r="D85" s="147"/>
      <c r="E85" s="147"/>
      <c r="F85" s="147"/>
      <c r="G85" s="147">
        <f>5157949-1294096</f>
        <v>3863853</v>
      </c>
      <c r="H85" s="147">
        <v>4000000</v>
      </c>
      <c r="I85" s="147"/>
      <c r="J85" s="147"/>
      <c r="K85" s="147"/>
      <c r="L85" s="147"/>
      <c r="M85" s="147"/>
      <c r="N85" s="147"/>
      <c r="O85" s="147"/>
      <c r="P85" s="147"/>
      <c r="Q85" s="147"/>
      <c r="R85" s="550">
        <f t="shared" si="29"/>
        <v>7863853</v>
      </c>
      <c r="S85" s="147">
        <f t="shared" ref="S85:S86" si="30">+C85</f>
        <v>7863853</v>
      </c>
      <c r="T85" s="147"/>
      <c r="U85" s="143"/>
    </row>
    <row r="86" spans="1:21" s="144" customFormat="1">
      <c r="A86" s="145" t="s">
        <v>778</v>
      </c>
      <c r="B86" s="146">
        <f t="shared" si="27"/>
        <v>1294096</v>
      </c>
      <c r="C86" s="147">
        <v>1294096</v>
      </c>
      <c r="D86" s="147"/>
      <c r="E86" s="147"/>
      <c r="F86" s="147"/>
      <c r="G86" s="147">
        <v>1294096</v>
      </c>
      <c r="H86" s="147"/>
      <c r="I86" s="147"/>
      <c r="J86" s="147"/>
      <c r="K86" s="147"/>
      <c r="L86" s="147"/>
      <c r="M86" s="147"/>
      <c r="N86" s="147"/>
      <c r="O86" s="147"/>
      <c r="P86" s="147"/>
      <c r="Q86" s="147"/>
      <c r="R86" s="550">
        <f t="shared" si="29"/>
        <v>1294096</v>
      </c>
      <c r="S86" s="147">
        <f t="shared" si="30"/>
        <v>1294096</v>
      </c>
      <c r="T86" s="147"/>
      <c r="U86" s="143"/>
    </row>
    <row r="87" spans="1:21" s="144" customFormat="1">
      <c r="A87" s="145" t="s">
        <v>779</v>
      </c>
      <c r="B87" s="146">
        <f t="shared" si="27"/>
        <v>0</v>
      </c>
      <c r="C87" s="147"/>
      <c r="D87" s="147"/>
      <c r="E87" s="147"/>
      <c r="F87" s="147"/>
      <c r="G87" s="147"/>
      <c r="H87" s="147"/>
      <c r="I87" s="147"/>
      <c r="J87" s="147"/>
      <c r="K87" s="147"/>
      <c r="L87" s="147"/>
      <c r="M87" s="147"/>
      <c r="N87" s="147"/>
      <c r="O87" s="147"/>
      <c r="P87" s="147"/>
      <c r="Q87" s="147"/>
      <c r="R87" s="550">
        <f t="shared" si="29"/>
        <v>0</v>
      </c>
      <c r="S87" s="147"/>
      <c r="T87" s="147"/>
      <c r="U87" s="143"/>
    </row>
    <row r="88" spans="1:21" s="144" customFormat="1">
      <c r="A88" s="145" t="s">
        <v>780</v>
      </c>
      <c r="B88" s="146">
        <f t="shared" si="27"/>
        <v>0</v>
      </c>
      <c r="C88" s="147"/>
      <c r="D88" s="147"/>
      <c r="E88" s="147"/>
      <c r="F88" s="147"/>
      <c r="G88" s="147"/>
      <c r="H88" s="147"/>
      <c r="I88" s="147"/>
      <c r="J88" s="147"/>
      <c r="K88" s="147"/>
      <c r="L88" s="147"/>
      <c r="M88" s="147"/>
      <c r="N88" s="147"/>
      <c r="O88" s="147"/>
      <c r="P88" s="147"/>
      <c r="Q88" s="147"/>
      <c r="R88" s="550">
        <f t="shared" si="29"/>
        <v>0</v>
      </c>
      <c r="S88" s="148"/>
      <c r="T88" s="148"/>
      <c r="U88" s="143"/>
    </row>
    <row r="89" spans="1:21" s="144" customFormat="1">
      <c r="A89" s="145" t="s">
        <v>781</v>
      </c>
      <c r="B89" s="146">
        <f t="shared" si="27"/>
        <v>250000</v>
      </c>
      <c r="C89" s="147">
        <v>250000</v>
      </c>
      <c r="D89" s="147"/>
      <c r="E89" s="147">
        <f t="shared" ref="E89:E95" si="31">+C89</f>
        <v>250000</v>
      </c>
      <c r="F89" s="147"/>
      <c r="G89" s="147"/>
      <c r="H89" s="147"/>
      <c r="I89" s="147"/>
      <c r="J89" s="147"/>
      <c r="K89" s="147"/>
      <c r="L89" s="147"/>
      <c r="M89" s="147"/>
      <c r="N89" s="147"/>
      <c r="O89" s="147"/>
      <c r="P89" s="147"/>
      <c r="Q89" s="147"/>
      <c r="R89" s="550">
        <f t="shared" si="29"/>
        <v>250000</v>
      </c>
      <c r="S89" s="147">
        <f t="shared" ref="S89:S95" si="32">+C89</f>
        <v>250000</v>
      </c>
      <c r="T89" s="147"/>
      <c r="U89" s="143"/>
    </row>
    <row r="90" spans="1:21" s="144" customFormat="1">
      <c r="A90" s="145" t="s">
        <v>782</v>
      </c>
      <c r="B90" s="146">
        <f t="shared" si="27"/>
        <v>10000</v>
      </c>
      <c r="C90" s="147">
        <v>10000</v>
      </c>
      <c r="D90" s="147"/>
      <c r="E90" s="147">
        <f t="shared" si="31"/>
        <v>10000</v>
      </c>
      <c r="F90" s="147"/>
      <c r="G90" s="147"/>
      <c r="H90" s="147"/>
      <c r="I90" s="147"/>
      <c r="J90" s="147"/>
      <c r="K90" s="147"/>
      <c r="L90" s="147"/>
      <c r="M90" s="147"/>
      <c r="N90" s="147"/>
      <c r="O90" s="147"/>
      <c r="P90" s="147"/>
      <c r="Q90" s="147"/>
      <c r="R90" s="550">
        <f t="shared" si="29"/>
        <v>10000</v>
      </c>
      <c r="S90" s="147">
        <f t="shared" si="32"/>
        <v>10000</v>
      </c>
      <c r="T90" s="147"/>
      <c r="U90" s="143"/>
    </row>
    <row r="91" spans="1:21" s="144" customFormat="1">
      <c r="A91" s="145" t="s">
        <v>373</v>
      </c>
      <c r="B91" s="146">
        <f t="shared" si="27"/>
        <v>15000</v>
      </c>
      <c r="C91" s="147">
        <v>15000</v>
      </c>
      <c r="D91" s="147"/>
      <c r="E91" s="147">
        <f t="shared" si="31"/>
        <v>15000</v>
      </c>
      <c r="F91" s="147"/>
      <c r="G91" s="147"/>
      <c r="H91" s="147"/>
      <c r="I91" s="147"/>
      <c r="J91" s="147"/>
      <c r="K91" s="147"/>
      <c r="L91" s="147"/>
      <c r="M91" s="147"/>
      <c r="N91" s="147"/>
      <c r="O91" s="147"/>
      <c r="P91" s="147"/>
      <c r="Q91" s="147"/>
      <c r="R91" s="550">
        <f t="shared" si="29"/>
        <v>15000</v>
      </c>
      <c r="S91" s="147">
        <f t="shared" si="32"/>
        <v>15000</v>
      </c>
      <c r="T91" s="147"/>
      <c r="U91" s="143"/>
    </row>
    <row r="92" spans="1:21" s="144" customFormat="1">
      <c r="A92" s="304" t="s">
        <v>1317</v>
      </c>
      <c r="B92" s="146">
        <f t="shared" si="27"/>
        <v>7500</v>
      </c>
      <c r="C92" s="147">
        <v>7500</v>
      </c>
      <c r="D92" s="147"/>
      <c r="E92" s="147">
        <f t="shared" si="31"/>
        <v>7500</v>
      </c>
      <c r="F92" s="147"/>
      <c r="G92" s="147"/>
      <c r="H92" s="147"/>
      <c r="I92" s="147"/>
      <c r="J92" s="147"/>
      <c r="K92" s="147"/>
      <c r="L92" s="147"/>
      <c r="M92" s="147"/>
      <c r="N92" s="147"/>
      <c r="O92" s="147"/>
      <c r="P92" s="147"/>
      <c r="Q92" s="147"/>
      <c r="R92" s="550">
        <f t="shared" si="29"/>
        <v>7500</v>
      </c>
      <c r="S92" s="147">
        <f t="shared" si="32"/>
        <v>7500</v>
      </c>
      <c r="T92" s="147"/>
      <c r="U92" s="143"/>
    </row>
    <row r="93" spans="1:21" s="144" customFormat="1">
      <c r="A93" s="1193" t="s">
        <v>2650</v>
      </c>
      <c r="B93" s="146">
        <f t="shared" si="27"/>
        <v>150000</v>
      </c>
      <c r="C93" s="147">
        <v>150000</v>
      </c>
      <c r="D93" s="147"/>
      <c r="E93" s="147">
        <f t="shared" si="31"/>
        <v>150000</v>
      </c>
      <c r="F93" s="147"/>
      <c r="G93" s="147"/>
      <c r="H93" s="147"/>
      <c r="I93" s="147"/>
      <c r="J93" s="147"/>
      <c r="K93" s="147"/>
      <c r="L93" s="147"/>
      <c r="M93" s="147"/>
      <c r="N93" s="147"/>
      <c r="O93" s="147"/>
      <c r="P93" s="147"/>
      <c r="Q93" s="147"/>
      <c r="R93" s="550">
        <f t="shared" si="29"/>
        <v>150000</v>
      </c>
      <c r="S93" s="147"/>
      <c r="T93" s="147"/>
      <c r="U93" s="143"/>
    </row>
    <row r="94" spans="1:21" s="144" customFormat="1">
      <c r="A94" s="1193" t="s">
        <v>2651</v>
      </c>
      <c r="B94" s="146">
        <f t="shared" si="27"/>
        <v>50000</v>
      </c>
      <c r="C94" s="147">
        <v>50000</v>
      </c>
      <c r="D94" s="147"/>
      <c r="E94" s="147">
        <f t="shared" si="31"/>
        <v>50000</v>
      </c>
      <c r="F94" s="147"/>
      <c r="G94" s="147"/>
      <c r="H94" s="147"/>
      <c r="I94" s="147"/>
      <c r="J94" s="147"/>
      <c r="K94" s="147"/>
      <c r="L94" s="147"/>
      <c r="M94" s="147"/>
      <c r="N94" s="147"/>
      <c r="O94" s="147"/>
      <c r="P94" s="147"/>
      <c r="Q94" s="147"/>
      <c r="R94" s="550">
        <f t="shared" si="29"/>
        <v>50000</v>
      </c>
      <c r="S94" s="147">
        <f t="shared" si="32"/>
        <v>50000</v>
      </c>
      <c r="T94" s="147"/>
      <c r="U94" s="143"/>
    </row>
    <row r="95" spans="1:21" s="144" customFormat="1">
      <c r="A95" s="1193" t="s">
        <v>2652</v>
      </c>
      <c r="B95" s="146">
        <f t="shared" si="27"/>
        <v>24450</v>
      </c>
      <c r="C95" s="147">
        <v>24450</v>
      </c>
      <c r="D95" s="147"/>
      <c r="E95" s="147">
        <f t="shared" si="31"/>
        <v>24450</v>
      </c>
      <c r="F95" s="147"/>
      <c r="G95" s="147"/>
      <c r="H95" s="147"/>
      <c r="I95" s="147"/>
      <c r="J95" s="147"/>
      <c r="K95" s="147"/>
      <c r="L95" s="147"/>
      <c r="M95" s="147"/>
      <c r="N95" s="147"/>
      <c r="O95" s="147"/>
      <c r="P95" s="147"/>
      <c r="Q95" s="147"/>
      <c r="R95" s="550">
        <f t="shared" si="29"/>
        <v>24450</v>
      </c>
      <c r="S95" s="147">
        <f t="shared" si="32"/>
        <v>24450</v>
      </c>
      <c r="T95" s="147"/>
      <c r="U95" s="143"/>
    </row>
    <row r="96" spans="1:21" s="144" customFormat="1" ht="12">
      <c r="A96" s="149" t="s">
        <v>783</v>
      </c>
      <c r="B96" s="146">
        <f>SUM(C96:D96)</f>
        <v>9940209</v>
      </c>
      <c r="C96" s="146">
        <f t="shared" ref="C96:R96" si="33">SUM(C83:C95)</f>
        <v>9940209</v>
      </c>
      <c r="D96" s="146">
        <f t="shared" si="33"/>
        <v>0</v>
      </c>
      <c r="E96" s="146">
        <f t="shared" si="33"/>
        <v>782260</v>
      </c>
      <c r="F96" s="146">
        <f t="shared" si="33"/>
        <v>0</v>
      </c>
      <c r="G96" s="146">
        <f t="shared" si="33"/>
        <v>5157949</v>
      </c>
      <c r="H96" s="146">
        <f t="shared" si="33"/>
        <v>4000000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70">
        <f t="shared" si="33"/>
        <v>9940209</v>
      </c>
      <c r="S96" s="150">
        <f>SUM(S84:S87,S89:S95)</f>
        <v>9524899</v>
      </c>
      <c r="T96" s="146">
        <f>SUM(T84:T87,T89:T95)</f>
        <v>0</v>
      </c>
      <c r="U96" s="143"/>
    </row>
    <row r="97" spans="1:21" s="144" customFormat="1" ht="12">
      <c r="A97" s="149" t="s">
        <v>784</v>
      </c>
      <c r="B97" s="146">
        <f>SUM(C97:D97)</f>
        <v>70736543</v>
      </c>
      <c r="C97" s="146">
        <f t="shared" ref="C97:R97" si="34">SUM(C63+C70+C77+C81+C96)</f>
        <v>70736543</v>
      </c>
      <c r="D97" s="146">
        <f t="shared" si="34"/>
        <v>0</v>
      </c>
      <c r="E97" s="146">
        <f t="shared" si="34"/>
        <v>30498594</v>
      </c>
      <c r="F97" s="146">
        <f t="shared" si="34"/>
        <v>28300000</v>
      </c>
      <c r="G97" s="146">
        <f t="shared" si="34"/>
        <v>5157949</v>
      </c>
      <c r="H97" s="146">
        <f t="shared" si="34"/>
        <v>5500000</v>
      </c>
      <c r="I97" s="146">
        <f t="shared" si="34"/>
        <v>0</v>
      </c>
      <c r="J97" s="146">
        <f t="shared" si="34"/>
        <v>1280000</v>
      </c>
      <c r="K97" s="146">
        <f t="shared" si="34"/>
        <v>0</v>
      </c>
      <c r="L97" s="146">
        <f t="shared" si="34"/>
        <v>0</v>
      </c>
      <c r="M97" s="146">
        <f t="shared" si="34"/>
        <v>0</v>
      </c>
      <c r="N97" s="146">
        <f t="shared" si="34"/>
        <v>0</v>
      </c>
      <c r="O97" s="146">
        <f t="shared" si="34"/>
        <v>0</v>
      </c>
      <c r="P97" s="146">
        <f t="shared" si="34"/>
        <v>0</v>
      </c>
      <c r="Q97" s="146">
        <f t="shared" si="34"/>
        <v>0</v>
      </c>
      <c r="R97" s="146">
        <f t="shared" si="34"/>
        <v>70736543</v>
      </c>
      <c r="S97" s="146">
        <f>SUM(S63+S70+S81+S96)</f>
        <v>61478122</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9221718</v>
      </c>
      <c r="C99" s="1014">
        <v>9221718</v>
      </c>
      <c r="D99" s="1014"/>
      <c r="E99" s="1014">
        <f>+C99-I99</f>
        <v>1401406</v>
      </c>
      <c r="F99" s="147"/>
      <c r="G99" s="147"/>
      <c r="H99" s="147"/>
      <c r="I99" s="147">
        <v>7820312</v>
      </c>
      <c r="J99" s="147"/>
      <c r="K99" s="147"/>
      <c r="L99" s="147"/>
      <c r="M99" s="147"/>
      <c r="N99" s="147"/>
      <c r="O99" s="147"/>
      <c r="P99" s="147"/>
      <c r="Q99" s="147"/>
      <c r="R99" s="550">
        <f>SUM(E99:Q99)</f>
        <v>9221718</v>
      </c>
      <c r="S99" s="147">
        <f>+C99</f>
        <v>9221718</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788</v>
      </c>
      <c r="B104" s="146">
        <f>SUM(C104:D104)</f>
        <v>9221718</v>
      </c>
      <c r="C104" s="146">
        <f>SUM(C99:C103)</f>
        <v>9221718</v>
      </c>
      <c r="D104" s="146">
        <f t="shared" ref="D104:T104" si="35">SUM(D99:D103)</f>
        <v>0</v>
      </c>
      <c r="E104" s="146">
        <f t="shared" si="35"/>
        <v>1401406</v>
      </c>
      <c r="F104" s="146">
        <f t="shared" si="35"/>
        <v>0</v>
      </c>
      <c r="G104" s="146">
        <f t="shared" si="35"/>
        <v>0</v>
      </c>
      <c r="H104" s="146">
        <f t="shared" si="35"/>
        <v>0</v>
      </c>
      <c r="I104" s="146">
        <f t="shared" si="35"/>
        <v>7820312</v>
      </c>
      <c r="J104" s="146">
        <f t="shared" si="35"/>
        <v>0</v>
      </c>
      <c r="K104" s="146">
        <f t="shared" si="35"/>
        <v>0</v>
      </c>
      <c r="L104" s="146">
        <f t="shared" si="35"/>
        <v>0</v>
      </c>
      <c r="M104" s="146">
        <f t="shared" si="35"/>
        <v>0</v>
      </c>
      <c r="N104" s="146">
        <f t="shared" si="35"/>
        <v>0</v>
      </c>
      <c r="O104" s="146">
        <f t="shared" si="35"/>
        <v>0</v>
      </c>
      <c r="P104" s="146">
        <f t="shared" si="35"/>
        <v>0</v>
      </c>
      <c r="Q104" s="146">
        <f t="shared" si="35"/>
        <v>0</v>
      </c>
      <c r="R104" s="370">
        <f t="shared" si="35"/>
        <v>9221718</v>
      </c>
      <c r="S104" s="150">
        <f t="shared" si="35"/>
        <v>9221718</v>
      </c>
      <c r="T104" s="150">
        <f t="shared" si="35"/>
        <v>0</v>
      </c>
      <c r="U104" s="143"/>
    </row>
    <row r="105" spans="1:21" s="144" customFormat="1" ht="12">
      <c r="A105" s="149" t="s">
        <v>789</v>
      </c>
      <c r="B105" s="150">
        <f>SUM(C105:D105)</f>
        <v>79958261</v>
      </c>
      <c r="C105" s="150">
        <f t="shared" ref="C105:R105" si="36">SUM(C97+C104)</f>
        <v>79958261</v>
      </c>
      <c r="D105" s="150">
        <f t="shared" si="36"/>
        <v>0</v>
      </c>
      <c r="E105" s="150">
        <f t="shared" si="36"/>
        <v>31900000</v>
      </c>
      <c r="F105" s="150">
        <f t="shared" si="36"/>
        <v>28300000</v>
      </c>
      <c r="G105" s="150">
        <f t="shared" si="36"/>
        <v>5157949</v>
      </c>
      <c r="H105" s="150">
        <f t="shared" si="36"/>
        <v>5500000</v>
      </c>
      <c r="I105" s="150">
        <f t="shared" si="36"/>
        <v>7820312</v>
      </c>
      <c r="J105" s="150">
        <f t="shared" si="36"/>
        <v>1280000</v>
      </c>
      <c r="K105" s="150">
        <f t="shared" si="36"/>
        <v>0</v>
      </c>
      <c r="L105" s="150">
        <f t="shared" si="36"/>
        <v>0</v>
      </c>
      <c r="M105" s="150">
        <f t="shared" si="36"/>
        <v>0</v>
      </c>
      <c r="N105" s="150">
        <f t="shared" si="36"/>
        <v>0</v>
      </c>
      <c r="O105" s="150">
        <f t="shared" si="36"/>
        <v>0</v>
      </c>
      <c r="P105" s="150">
        <f t="shared" si="36"/>
        <v>0</v>
      </c>
      <c r="Q105" s="150">
        <f t="shared" si="36"/>
        <v>0</v>
      </c>
      <c r="R105" s="370">
        <f t="shared" si="36"/>
        <v>79958261</v>
      </c>
      <c r="S105" s="150">
        <f>S97+S104</f>
        <v>70699840</v>
      </c>
      <c r="T105" s="150">
        <f>T97+T104</f>
        <v>0</v>
      </c>
      <c r="U105" s="143"/>
    </row>
    <row r="106" spans="1:21" ht="12">
      <c r="A106" s="548" t="s">
        <v>1044</v>
      </c>
      <c r="B106" s="157"/>
      <c r="C106" s="157"/>
      <c r="D106" s="157"/>
      <c r="H106" s="159" t="s">
        <v>92</v>
      </c>
      <c r="I106" s="159"/>
      <c r="J106" s="159"/>
      <c r="R106" s="160" t="s">
        <v>93</v>
      </c>
      <c r="S106" s="147"/>
      <c r="T106" s="147"/>
    </row>
    <row r="107" spans="1:21" ht="12">
      <c r="A107" s="157" t="s">
        <v>184</v>
      </c>
      <c r="C107" s="157"/>
      <c r="D107" s="157"/>
      <c r="I107" s="162" t="s">
        <v>351</v>
      </c>
      <c r="J107" s="162"/>
      <c r="R107" s="160" t="s">
        <v>94</v>
      </c>
      <c r="S107" s="150">
        <f>S105+S106</f>
        <v>70699840</v>
      </c>
      <c r="T107" s="150">
        <f>T105+T106</f>
        <v>0</v>
      </c>
    </row>
    <row r="108" spans="1:21" s="201" customFormat="1" ht="12">
      <c r="A108" s="162" t="s">
        <v>891</v>
      </c>
      <c r="B108" s="157"/>
      <c r="C108" s="157"/>
      <c r="D108" s="157"/>
      <c r="E108" s="323">
        <f>Application!AO640</f>
        <v>31900000</v>
      </c>
      <c r="F108" s="323">
        <f>Application!AO627</f>
        <v>28300000</v>
      </c>
      <c r="G108" s="323">
        <f>Application!AO628</f>
        <v>5157949</v>
      </c>
      <c r="H108" s="323">
        <f>Application!AO629</f>
        <v>5500000</v>
      </c>
      <c r="I108" s="323">
        <f>Application!AO630</f>
        <v>7820312</v>
      </c>
      <c r="J108" s="323">
        <f>Application!AO631</f>
        <v>1280000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977</v>
      </c>
      <c r="B110" s="157"/>
      <c r="C110" s="157"/>
      <c r="D110" s="157"/>
    </row>
    <row r="111" spans="1:21" ht="12">
      <c r="A111" s="156" t="s">
        <v>978</v>
      </c>
      <c r="B111" s="157"/>
      <c r="C111" s="157"/>
      <c r="D111" s="157"/>
    </row>
    <row r="112" spans="1:21" ht="12" customHeight="1">
      <c r="A112" s="336"/>
      <c r="B112" s="157"/>
      <c r="C112" s="157"/>
      <c r="D112" s="157"/>
    </row>
    <row r="113" spans="1:21" ht="12">
      <c r="A113" s="156" t="s">
        <v>1043</v>
      </c>
      <c r="B113" s="157"/>
      <c r="C113" s="157"/>
      <c r="D113" s="157"/>
    </row>
    <row r="114" spans="1:21" ht="12">
      <c r="A114" s="156" t="s">
        <v>2409</v>
      </c>
      <c r="B114" s="157"/>
      <c r="C114" s="157"/>
      <c r="D114" s="157"/>
    </row>
    <row r="115" spans="1:21" ht="12" customHeight="1">
      <c r="A115" s="336"/>
      <c r="B115" s="157"/>
      <c r="C115" s="157"/>
      <c r="D115" s="157"/>
    </row>
    <row r="116" spans="1:21" ht="12">
      <c r="A116" s="373" t="s">
        <v>1046</v>
      </c>
      <c r="B116" s="157"/>
      <c r="C116" s="157"/>
      <c r="D116" s="157"/>
    </row>
    <row r="117" spans="1:21" ht="12">
      <c r="A117" s="373" t="s">
        <v>1330</v>
      </c>
      <c r="B117" s="157"/>
      <c r="C117" s="157"/>
      <c r="D117" s="157"/>
    </row>
    <row r="118" spans="1:21" ht="12">
      <c r="A118" s="373" t="s">
        <v>1045</v>
      </c>
      <c r="B118" s="157"/>
      <c r="C118" s="157"/>
      <c r="D118" s="157"/>
    </row>
    <row r="119" spans="1:21" ht="12">
      <c r="A119" s="373" t="s">
        <v>1047</v>
      </c>
      <c r="B119" s="157"/>
      <c r="C119" s="157"/>
      <c r="D119" s="157"/>
    </row>
    <row r="120" spans="1:21" ht="12" customHeight="1">
      <c r="A120" s="372"/>
      <c r="B120" s="157"/>
      <c r="C120" s="157"/>
      <c r="D120" s="157"/>
    </row>
    <row r="121" spans="1:21" ht="15.6">
      <c r="A121" s="366" t="s">
        <v>1029</v>
      </c>
      <c r="B121" s="157"/>
      <c r="C121" s="157"/>
      <c r="D121" s="157"/>
    </row>
    <row r="122" spans="1:21">
      <c r="A122" s="353" t="s">
        <v>1013</v>
      </c>
      <c r="B122" s="352"/>
      <c r="C122" s="352"/>
      <c r="D122" s="1882" t="s">
        <v>1014</v>
      </c>
      <c r="E122" s="1882"/>
      <c r="F122" s="1882"/>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4" t="s">
        <v>1331</v>
      </c>
      <c r="E123" s="1530"/>
      <c r="F123" s="1530"/>
      <c r="G123" s="1530"/>
      <c r="H123" s="1530"/>
      <c r="I123" s="1530"/>
      <c r="J123" s="1530"/>
      <c r="K123" s="1530"/>
      <c r="L123" s="1530"/>
      <c r="M123" s="1530"/>
      <c r="N123" s="1530"/>
      <c r="O123" s="1530"/>
      <c r="P123" s="1530"/>
      <c r="Q123" s="1530"/>
      <c r="R123" s="1530"/>
      <c r="S123" s="1530"/>
      <c r="T123" s="352"/>
      <c r="U123" s="354"/>
    </row>
    <row r="124" spans="1:21" ht="13.2">
      <c r="A124" s="117" t="s">
        <v>1016</v>
      </c>
      <c r="B124" s="361"/>
      <c r="C124" s="117"/>
      <c r="D124" s="1530"/>
      <c r="E124" s="1530"/>
      <c r="F124" s="1530"/>
      <c r="G124" s="1530"/>
      <c r="H124" s="1530"/>
      <c r="I124" s="1530"/>
      <c r="J124" s="1530"/>
      <c r="K124" s="1530"/>
      <c r="L124" s="1530"/>
      <c r="M124" s="1530"/>
      <c r="N124" s="1530"/>
      <c r="O124" s="1530"/>
      <c r="P124" s="1530"/>
      <c r="Q124" s="1530"/>
      <c r="R124" s="1530"/>
      <c r="S124" s="1530"/>
      <c r="T124" s="352"/>
      <c r="U124" s="354"/>
    </row>
    <row r="125" spans="1:21" ht="13.2">
      <c r="A125" s="117" t="s">
        <v>1017</v>
      </c>
      <c r="B125" s="361"/>
      <c r="C125" s="117"/>
      <c r="D125" s="1530"/>
      <c r="E125" s="1530"/>
      <c r="F125" s="1530"/>
      <c r="G125" s="1530"/>
      <c r="H125" s="1530"/>
      <c r="I125" s="1530"/>
      <c r="J125" s="1530"/>
      <c r="K125" s="1530"/>
      <c r="L125" s="1530"/>
      <c r="M125" s="1530"/>
      <c r="N125" s="1530"/>
      <c r="O125" s="1530"/>
      <c r="P125" s="1530"/>
      <c r="Q125" s="1530"/>
      <c r="R125" s="1530"/>
      <c r="S125" s="1530"/>
      <c r="T125" s="352"/>
      <c r="U125" s="354"/>
    </row>
    <row r="126" spans="1:21" ht="13.2">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1020</v>
      </c>
      <c r="B128" s="361"/>
      <c r="C128" s="117"/>
      <c r="D128" s="1877"/>
      <c r="E128" s="1877"/>
      <c r="F128" s="1877"/>
      <c r="G128" s="1877"/>
      <c r="H128" s="1877"/>
      <c r="I128" s="117"/>
      <c r="J128" s="1873"/>
      <c r="K128" s="1873"/>
      <c r="L128" s="117"/>
      <c r="M128" s="117"/>
      <c r="N128" s="117"/>
      <c r="O128" s="117"/>
      <c r="P128" s="117"/>
      <c r="Q128" s="117"/>
      <c r="R128" s="117"/>
      <c r="S128" s="117"/>
      <c r="T128" s="352"/>
      <c r="U128" s="354"/>
    </row>
    <row r="129" spans="1:21" ht="13.2">
      <c r="A129" s="117" t="s">
        <v>301</v>
      </c>
      <c r="B129" s="361"/>
      <c r="C129" s="117"/>
      <c r="D129" s="1881" t="s">
        <v>1021</v>
      </c>
      <c r="E129" s="1881"/>
      <c r="F129" s="1881"/>
      <c r="G129" s="1881"/>
      <c r="H129" s="1881"/>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1023</v>
      </c>
      <c r="B131" s="362">
        <f>SUM(B123:B129)</f>
        <v>0</v>
      </c>
      <c r="C131" s="117"/>
      <c r="D131" s="1477"/>
      <c r="E131" s="1477"/>
      <c r="F131" s="1477"/>
      <c r="G131" s="1477"/>
      <c r="H131" s="1477"/>
      <c r="I131" s="117"/>
      <c r="J131" s="1477"/>
      <c r="K131" s="1477"/>
      <c r="L131" s="1477"/>
      <c r="M131" s="1477"/>
      <c r="N131" s="117"/>
      <c r="O131" s="117"/>
      <c r="P131" s="117"/>
      <c r="Q131" s="117"/>
      <c r="R131" s="117"/>
      <c r="S131" s="117"/>
      <c r="T131" s="352"/>
      <c r="U131" s="354"/>
    </row>
    <row r="132" spans="1:21" ht="12" customHeight="1">
      <c r="A132" s="364"/>
      <c r="B132" s="117"/>
      <c r="C132" s="117"/>
      <c r="D132" s="1875" t="s">
        <v>1024</v>
      </c>
      <c r="E132" s="1875"/>
      <c r="F132" s="1875"/>
      <c r="G132" s="1875"/>
      <c r="H132" s="1875"/>
      <c r="I132" s="117"/>
      <c r="J132" s="1875" t="s">
        <v>1025</v>
      </c>
      <c r="K132" s="1875"/>
      <c r="L132" s="1875"/>
      <c r="M132" s="187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6"/>
      <c r="B138" s="1877"/>
      <c r="C138" s="1877"/>
      <c r="D138" s="356"/>
      <c r="E138" s="1873"/>
      <c r="F138" s="1873"/>
      <c r="G138" s="117"/>
      <c r="H138" s="117"/>
      <c r="I138" s="117"/>
      <c r="J138" s="117"/>
      <c r="K138" s="117"/>
      <c r="L138" s="117"/>
      <c r="M138" s="117"/>
      <c r="N138" s="117"/>
      <c r="O138" s="117"/>
      <c r="P138" s="117"/>
      <c r="Q138" s="117"/>
      <c r="R138" s="117"/>
      <c r="S138" s="117"/>
      <c r="T138" s="358"/>
      <c r="U138" s="359"/>
    </row>
    <row r="139" spans="1:21" ht="13.2">
      <c r="A139" s="1872" t="s">
        <v>1028</v>
      </c>
      <c r="B139" s="1872"/>
      <c r="C139" s="1872"/>
      <c r="D139" s="356"/>
      <c r="E139" s="117" t="s">
        <v>1022</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8" workbookViewId="0">
      <selection activeCell="C4" sqref="C4"/>
    </sheetView>
  </sheetViews>
  <sheetFormatPr defaultColWidth="0" defaultRowHeight="12" zeroHeight="1"/>
  <cols>
    <col min="1" max="1" width="32.6640625" style="428" customWidth="1"/>
    <col min="2" max="3" width="12.109375" style="424" customWidth="1"/>
    <col min="4" max="6" width="12.88671875" style="424" customWidth="1"/>
    <col min="7" max="9" width="12.109375" style="424" customWidth="1"/>
    <col min="10" max="10" width="12.109375" style="425" customWidth="1"/>
    <col min="11" max="11" width="8.88671875" style="426" hidden="1" customWidth="1"/>
    <col min="12" max="21" width="8.88671875" style="424" hidden="1" customWidth="1"/>
    <col min="22" max="23" width="0" style="424" hidden="1"/>
    <col min="24" max="256" width="8.88671875" style="424" hidden="1"/>
    <col min="257" max="257" width="32.6640625" style="424" hidden="1" customWidth="1"/>
    <col min="258" max="259" width="12.109375" style="424" hidden="1" customWidth="1"/>
    <col min="260" max="260" width="12.88671875" style="424" hidden="1" customWidth="1"/>
    <col min="261" max="266" width="12.109375" style="424" hidden="1" customWidth="1"/>
    <col min="267" max="277" width="8.88671875" style="424" hidden="1" customWidth="1"/>
    <col min="278" max="512" width="8.88671875" style="424" hidden="1"/>
    <col min="513" max="513" width="32.6640625" style="424" hidden="1" customWidth="1"/>
    <col min="514" max="515" width="12.109375" style="424" hidden="1" customWidth="1"/>
    <col min="516" max="516" width="12.88671875" style="424" hidden="1" customWidth="1"/>
    <col min="517" max="522" width="12.109375" style="424" hidden="1" customWidth="1"/>
    <col min="523" max="533" width="8.88671875" style="424" hidden="1" customWidth="1"/>
    <col min="534" max="768" width="8.88671875" style="424" hidden="1"/>
    <col min="769" max="769" width="32.6640625" style="424" hidden="1" customWidth="1"/>
    <col min="770" max="771" width="12.109375" style="424" hidden="1" customWidth="1"/>
    <col min="772" max="772" width="12.88671875" style="424" hidden="1" customWidth="1"/>
    <col min="773" max="778" width="12.109375" style="424" hidden="1" customWidth="1"/>
    <col min="779" max="789" width="8.88671875" style="424" hidden="1" customWidth="1"/>
    <col min="790" max="1024" width="8.88671875" style="424" hidden="1"/>
    <col min="1025" max="1025" width="32.6640625" style="424" hidden="1" customWidth="1"/>
    <col min="1026" max="1027" width="12.109375" style="424" hidden="1" customWidth="1"/>
    <col min="1028" max="1028" width="12.88671875" style="424" hidden="1" customWidth="1"/>
    <col min="1029" max="1034" width="12.109375" style="424" hidden="1" customWidth="1"/>
    <col min="1035" max="1045" width="8.88671875" style="424" hidden="1" customWidth="1"/>
    <col min="1046" max="1280" width="8.88671875" style="424" hidden="1"/>
    <col min="1281" max="1281" width="32.6640625" style="424" hidden="1" customWidth="1"/>
    <col min="1282" max="1283" width="12.109375" style="424" hidden="1" customWidth="1"/>
    <col min="1284" max="1284" width="12.88671875" style="424" hidden="1" customWidth="1"/>
    <col min="1285" max="1290" width="12.109375" style="424" hidden="1" customWidth="1"/>
    <col min="1291" max="1301" width="8.88671875" style="424" hidden="1" customWidth="1"/>
    <col min="1302" max="1536" width="8.88671875" style="424" hidden="1"/>
    <col min="1537" max="1537" width="32.6640625" style="424" hidden="1" customWidth="1"/>
    <col min="1538" max="1539" width="12.109375" style="424" hidden="1" customWidth="1"/>
    <col min="1540" max="1540" width="12.88671875" style="424" hidden="1" customWidth="1"/>
    <col min="1541" max="1546" width="12.109375" style="424" hidden="1" customWidth="1"/>
    <col min="1547" max="1557" width="8.88671875" style="424" hidden="1" customWidth="1"/>
    <col min="1558" max="1792" width="8.88671875" style="424" hidden="1"/>
    <col min="1793" max="1793" width="32.6640625" style="424" hidden="1" customWidth="1"/>
    <col min="1794" max="1795" width="12.109375" style="424" hidden="1" customWidth="1"/>
    <col min="1796" max="1796" width="12.88671875" style="424" hidden="1" customWidth="1"/>
    <col min="1797" max="1802" width="12.109375" style="424" hidden="1" customWidth="1"/>
    <col min="1803" max="1813" width="8.88671875" style="424" hidden="1" customWidth="1"/>
    <col min="1814" max="2048" width="8.88671875" style="424" hidden="1"/>
    <col min="2049" max="2049" width="32.6640625" style="424" hidden="1" customWidth="1"/>
    <col min="2050" max="2051" width="12.109375" style="424" hidden="1" customWidth="1"/>
    <col min="2052" max="2052" width="12.88671875" style="424" hidden="1" customWidth="1"/>
    <col min="2053" max="2058" width="12.109375" style="424" hidden="1" customWidth="1"/>
    <col min="2059" max="2069" width="8.88671875" style="424" hidden="1" customWidth="1"/>
    <col min="2070" max="2304" width="8.88671875" style="424" hidden="1"/>
    <col min="2305" max="2305" width="32.6640625" style="424" hidden="1" customWidth="1"/>
    <col min="2306" max="2307" width="12.109375" style="424" hidden="1" customWidth="1"/>
    <col min="2308" max="2308" width="12.88671875" style="424" hidden="1" customWidth="1"/>
    <col min="2309" max="2314" width="12.109375" style="424" hidden="1" customWidth="1"/>
    <col min="2315" max="2325" width="8.88671875" style="424" hidden="1" customWidth="1"/>
    <col min="2326" max="2560" width="8.88671875" style="424" hidden="1"/>
    <col min="2561" max="2561" width="32.6640625" style="424" hidden="1" customWidth="1"/>
    <col min="2562" max="2563" width="12.109375" style="424" hidden="1" customWidth="1"/>
    <col min="2564" max="2564" width="12.88671875" style="424" hidden="1" customWidth="1"/>
    <col min="2565" max="2570" width="12.109375" style="424" hidden="1" customWidth="1"/>
    <col min="2571" max="2581" width="8.88671875" style="424" hidden="1" customWidth="1"/>
    <col min="2582" max="2816" width="8.88671875" style="424" hidden="1"/>
    <col min="2817" max="2817" width="32.6640625" style="424" hidden="1" customWidth="1"/>
    <col min="2818" max="2819" width="12.109375" style="424" hidden="1" customWidth="1"/>
    <col min="2820" max="2820" width="12.88671875" style="424" hidden="1" customWidth="1"/>
    <col min="2821" max="2826" width="12.109375" style="424" hidden="1" customWidth="1"/>
    <col min="2827" max="2837" width="8.88671875" style="424" hidden="1" customWidth="1"/>
    <col min="2838" max="3072" width="8.88671875" style="424" hidden="1"/>
    <col min="3073" max="3073" width="32.6640625" style="424" hidden="1" customWidth="1"/>
    <col min="3074" max="3075" width="12.109375" style="424" hidden="1" customWidth="1"/>
    <col min="3076" max="3076" width="12.88671875" style="424" hidden="1" customWidth="1"/>
    <col min="3077" max="3082" width="12.109375" style="424" hidden="1" customWidth="1"/>
    <col min="3083" max="3093" width="8.88671875" style="424" hidden="1" customWidth="1"/>
    <col min="3094" max="3328" width="8.88671875" style="424" hidden="1"/>
    <col min="3329" max="3329" width="32.6640625" style="424" hidden="1" customWidth="1"/>
    <col min="3330" max="3331" width="12.109375" style="424" hidden="1" customWidth="1"/>
    <col min="3332" max="3332" width="12.88671875" style="424" hidden="1" customWidth="1"/>
    <col min="3333" max="3338" width="12.109375" style="424" hidden="1" customWidth="1"/>
    <col min="3339" max="3349" width="8.88671875" style="424" hidden="1" customWidth="1"/>
    <col min="3350" max="3584" width="8.88671875" style="424" hidden="1"/>
    <col min="3585" max="3585" width="32.6640625" style="424" hidden="1" customWidth="1"/>
    <col min="3586" max="3587" width="12.109375" style="424" hidden="1" customWidth="1"/>
    <col min="3588" max="3588" width="12.88671875" style="424" hidden="1" customWidth="1"/>
    <col min="3589" max="3594" width="12.109375" style="424" hidden="1" customWidth="1"/>
    <col min="3595" max="3605" width="8.88671875" style="424" hidden="1" customWidth="1"/>
    <col min="3606" max="3840" width="8.88671875" style="424" hidden="1"/>
    <col min="3841" max="3841" width="32.6640625" style="424" hidden="1" customWidth="1"/>
    <col min="3842" max="3843" width="12.109375" style="424" hidden="1" customWidth="1"/>
    <col min="3844" max="3844" width="12.88671875" style="424" hidden="1" customWidth="1"/>
    <col min="3845" max="3850" width="12.109375" style="424" hidden="1" customWidth="1"/>
    <col min="3851" max="3861" width="8.88671875" style="424" hidden="1" customWidth="1"/>
    <col min="3862" max="4096" width="8.88671875" style="424" hidden="1"/>
    <col min="4097" max="4097" width="32.6640625" style="424" hidden="1" customWidth="1"/>
    <col min="4098" max="4099" width="12.109375" style="424" hidden="1" customWidth="1"/>
    <col min="4100" max="4100" width="12.88671875" style="424" hidden="1" customWidth="1"/>
    <col min="4101" max="4106" width="12.109375" style="424" hidden="1" customWidth="1"/>
    <col min="4107" max="4117" width="8.88671875" style="424" hidden="1" customWidth="1"/>
    <col min="4118" max="4352" width="8.88671875" style="424" hidden="1"/>
    <col min="4353" max="4353" width="32.6640625" style="424" hidden="1" customWidth="1"/>
    <col min="4354" max="4355" width="12.109375" style="424" hidden="1" customWidth="1"/>
    <col min="4356" max="4356" width="12.88671875" style="424" hidden="1" customWidth="1"/>
    <col min="4357" max="4362" width="12.109375" style="424" hidden="1" customWidth="1"/>
    <col min="4363" max="4373" width="8.88671875" style="424" hidden="1" customWidth="1"/>
    <col min="4374" max="4608" width="8.88671875" style="424" hidden="1"/>
    <col min="4609" max="4609" width="32.6640625" style="424" hidden="1" customWidth="1"/>
    <col min="4610" max="4611" width="12.109375" style="424" hidden="1" customWidth="1"/>
    <col min="4612" max="4612" width="12.88671875" style="424" hidden="1" customWidth="1"/>
    <col min="4613" max="4618" width="12.109375" style="424" hidden="1" customWidth="1"/>
    <col min="4619" max="4629" width="8.88671875" style="424" hidden="1" customWidth="1"/>
    <col min="4630" max="4864" width="8.88671875" style="424" hidden="1"/>
    <col min="4865" max="4865" width="32.6640625" style="424" hidden="1" customWidth="1"/>
    <col min="4866" max="4867" width="12.109375" style="424" hidden="1" customWidth="1"/>
    <col min="4868" max="4868" width="12.88671875" style="424" hidden="1" customWidth="1"/>
    <col min="4869" max="4874" width="12.109375" style="424" hidden="1" customWidth="1"/>
    <col min="4875" max="4885" width="8.88671875" style="424" hidden="1" customWidth="1"/>
    <col min="4886" max="5120" width="8.88671875" style="424" hidden="1"/>
    <col min="5121" max="5121" width="32.6640625" style="424" hidden="1" customWidth="1"/>
    <col min="5122" max="5123" width="12.109375" style="424" hidden="1" customWidth="1"/>
    <col min="5124" max="5124" width="12.88671875" style="424" hidden="1" customWidth="1"/>
    <col min="5125" max="5130" width="12.109375" style="424" hidden="1" customWidth="1"/>
    <col min="5131" max="5141" width="8.88671875" style="424" hidden="1" customWidth="1"/>
    <col min="5142" max="5376" width="8.88671875" style="424" hidden="1"/>
    <col min="5377" max="5377" width="32.6640625" style="424" hidden="1" customWidth="1"/>
    <col min="5378" max="5379" width="12.109375" style="424" hidden="1" customWidth="1"/>
    <col min="5380" max="5380" width="12.88671875" style="424" hidden="1" customWidth="1"/>
    <col min="5381" max="5386" width="12.109375" style="424" hidden="1" customWidth="1"/>
    <col min="5387" max="5397" width="8.88671875" style="424" hidden="1" customWidth="1"/>
    <col min="5398" max="5632" width="8.88671875" style="424" hidden="1"/>
    <col min="5633" max="5633" width="32.6640625" style="424" hidden="1" customWidth="1"/>
    <col min="5634" max="5635" width="12.109375" style="424" hidden="1" customWidth="1"/>
    <col min="5636" max="5636" width="12.88671875" style="424" hidden="1" customWidth="1"/>
    <col min="5637" max="5642" width="12.109375" style="424" hidden="1" customWidth="1"/>
    <col min="5643" max="5653" width="8.88671875" style="424" hidden="1" customWidth="1"/>
    <col min="5654" max="5888" width="8.88671875" style="424" hidden="1"/>
    <col min="5889" max="5889" width="32.6640625" style="424" hidden="1" customWidth="1"/>
    <col min="5890" max="5891" width="12.109375" style="424" hidden="1" customWidth="1"/>
    <col min="5892" max="5892" width="12.88671875" style="424" hidden="1" customWidth="1"/>
    <col min="5893" max="5898" width="12.109375" style="424" hidden="1" customWidth="1"/>
    <col min="5899" max="5909" width="8.88671875" style="424" hidden="1" customWidth="1"/>
    <col min="5910" max="6144" width="8.88671875" style="424" hidden="1"/>
    <col min="6145" max="6145" width="32.6640625" style="424" hidden="1" customWidth="1"/>
    <col min="6146" max="6147" width="12.109375" style="424" hidden="1" customWidth="1"/>
    <col min="6148" max="6148" width="12.88671875" style="424" hidden="1" customWidth="1"/>
    <col min="6149" max="6154" width="12.109375" style="424" hidden="1" customWidth="1"/>
    <col min="6155" max="6165" width="8.88671875" style="424" hidden="1" customWidth="1"/>
    <col min="6166" max="6400" width="8.88671875" style="424" hidden="1"/>
    <col min="6401" max="6401" width="32.6640625" style="424" hidden="1" customWidth="1"/>
    <col min="6402" max="6403" width="12.109375" style="424" hidden="1" customWidth="1"/>
    <col min="6404" max="6404" width="12.88671875" style="424" hidden="1" customWidth="1"/>
    <col min="6405" max="6410" width="12.109375" style="424" hidden="1" customWidth="1"/>
    <col min="6411" max="6421" width="8.88671875" style="424" hidden="1" customWidth="1"/>
    <col min="6422" max="6656" width="8.88671875" style="424" hidden="1"/>
    <col min="6657" max="6657" width="32.6640625" style="424" hidden="1" customWidth="1"/>
    <col min="6658" max="6659" width="12.109375" style="424" hidden="1" customWidth="1"/>
    <col min="6660" max="6660" width="12.88671875" style="424" hidden="1" customWidth="1"/>
    <col min="6661" max="6666" width="12.109375" style="424" hidden="1" customWidth="1"/>
    <col min="6667" max="6677" width="8.88671875" style="424" hidden="1" customWidth="1"/>
    <col min="6678" max="6912" width="8.88671875" style="424" hidden="1"/>
    <col min="6913" max="6913" width="32.6640625" style="424" hidden="1" customWidth="1"/>
    <col min="6914" max="6915" width="12.109375" style="424" hidden="1" customWidth="1"/>
    <col min="6916" max="6916" width="12.88671875" style="424" hidden="1" customWidth="1"/>
    <col min="6917" max="6922" width="12.109375" style="424" hidden="1" customWidth="1"/>
    <col min="6923" max="6933" width="8.88671875" style="424" hidden="1" customWidth="1"/>
    <col min="6934" max="7168" width="8.88671875" style="424" hidden="1"/>
    <col min="7169" max="7169" width="32.6640625" style="424" hidden="1" customWidth="1"/>
    <col min="7170" max="7171" width="12.109375" style="424" hidden="1" customWidth="1"/>
    <col min="7172" max="7172" width="12.88671875" style="424" hidden="1" customWidth="1"/>
    <col min="7173" max="7178" width="12.109375" style="424" hidden="1" customWidth="1"/>
    <col min="7179" max="7189" width="8.88671875" style="424" hidden="1" customWidth="1"/>
    <col min="7190" max="7424" width="8.88671875" style="424" hidden="1"/>
    <col min="7425" max="7425" width="32.6640625" style="424" hidden="1" customWidth="1"/>
    <col min="7426" max="7427" width="12.109375" style="424" hidden="1" customWidth="1"/>
    <col min="7428" max="7428" width="12.88671875" style="424" hidden="1" customWidth="1"/>
    <col min="7429" max="7434" width="12.109375" style="424" hidden="1" customWidth="1"/>
    <col min="7435" max="7445" width="8.88671875" style="424" hidden="1" customWidth="1"/>
    <col min="7446" max="7680" width="8.88671875" style="424" hidden="1"/>
    <col min="7681" max="7681" width="32.6640625" style="424" hidden="1" customWidth="1"/>
    <col min="7682" max="7683" width="12.109375" style="424" hidden="1" customWidth="1"/>
    <col min="7684" max="7684" width="12.88671875" style="424" hidden="1" customWidth="1"/>
    <col min="7685" max="7690" width="12.109375" style="424" hidden="1" customWidth="1"/>
    <col min="7691" max="7701" width="8.88671875" style="424" hidden="1" customWidth="1"/>
    <col min="7702" max="7936" width="8.88671875" style="424" hidden="1"/>
    <col min="7937" max="7937" width="32.6640625" style="424" hidden="1" customWidth="1"/>
    <col min="7938" max="7939" width="12.109375" style="424" hidden="1" customWidth="1"/>
    <col min="7940" max="7940" width="12.88671875" style="424" hidden="1" customWidth="1"/>
    <col min="7941" max="7946" width="12.109375" style="424" hidden="1" customWidth="1"/>
    <col min="7947" max="7957" width="8.88671875" style="424" hidden="1" customWidth="1"/>
    <col min="7958" max="8192" width="8.88671875" style="424" hidden="1"/>
    <col min="8193" max="8193" width="32.6640625" style="424" hidden="1" customWidth="1"/>
    <col min="8194" max="8195" width="12.109375" style="424" hidden="1" customWidth="1"/>
    <col min="8196" max="8196" width="12.88671875" style="424" hidden="1" customWidth="1"/>
    <col min="8197" max="8202" width="12.109375" style="424" hidden="1" customWidth="1"/>
    <col min="8203" max="8213" width="8.88671875" style="424" hidden="1" customWidth="1"/>
    <col min="8214" max="8448" width="8.88671875" style="424" hidden="1"/>
    <col min="8449" max="8449" width="32.6640625" style="424" hidden="1" customWidth="1"/>
    <col min="8450" max="8451" width="12.109375" style="424" hidden="1" customWidth="1"/>
    <col min="8452" max="8452" width="12.88671875" style="424" hidden="1" customWidth="1"/>
    <col min="8453" max="8458" width="12.109375" style="424" hidden="1" customWidth="1"/>
    <col min="8459" max="8469" width="8.88671875" style="424" hidden="1" customWidth="1"/>
    <col min="8470" max="8704" width="8.88671875" style="424" hidden="1"/>
    <col min="8705" max="8705" width="32.6640625" style="424" hidden="1" customWidth="1"/>
    <col min="8706" max="8707" width="12.109375" style="424" hidden="1" customWidth="1"/>
    <col min="8708" max="8708" width="12.88671875" style="424" hidden="1" customWidth="1"/>
    <col min="8709" max="8714" width="12.109375" style="424" hidden="1" customWidth="1"/>
    <col min="8715" max="8725" width="8.88671875" style="424" hidden="1" customWidth="1"/>
    <col min="8726" max="8960" width="8.88671875" style="424" hidden="1"/>
    <col min="8961" max="8961" width="32.6640625" style="424" hidden="1" customWidth="1"/>
    <col min="8962" max="8963" width="12.109375" style="424" hidden="1" customWidth="1"/>
    <col min="8964" max="8964" width="12.88671875" style="424" hidden="1" customWidth="1"/>
    <col min="8965" max="8970" width="12.109375" style="424" hidden="1" customWidth="1"/>
    <col min="8971" max="8981" width="8.88671875" style="424" hidden="1" customWidth="1"/>
    <col min="8982" max="9216" width="8.88671875" style="424" hidden="1"/>
    <col min="9217" max="9217" width="32.6640625" style="424" hidden="1" customWidth="1"/>
    <col min="9218" max="9219" width="12.109375" style="424" hidden="1" customWidth="1"/>
    <col min="9220" max="9220" width="12.88671875" style="424" hidden="1" customWidth="1"/>
    <col min="9221" max="9226" width="12.109375" style="424" hidden="1" customWidth="1"/>
    <col min="9227" max="9237" width="8.88671875" style="424" hidden="1" customWidth="1"/>
    <col min="9238" max="9472" width="8.88671875" style="424" hidden="1"/>
    <col min="9473" max="9473" width="32.6640625" style="424" hidden="1" customWidth="1"/>
    <col min="9474" max="9475" width="12.109375" style="424" hidden="1" customWidth="1"/>
    <col min="9476" max="9476" width="12.88671875" style="424" hidden="1" customWidth="1"/>
    <col min="9477" max="9482" width="12.109375" style="424" hidden="1" customWidth="1"/>
    <col min="9483" max="9493" width="8.88671875" style="424" hidden="1" customWidth="1"/>
    <col min="9494" max="9728" width="8.88671875" style="424" hidden="1"/>
    <col min="9729" max="9729" width="32.6640625" style="424" hidden="1" customWidth="1"/>
    <col min="9730" max="9731" width="12.109375" style="424" hidden="1" customWidth="1"/>
    <col min="9732" max="9732" width="12.88671875" style="424" hidden="1" customWidth="1"/>
    <col min="9733" max="9738" width="12.109375" style="424" hidden="1" customWidth="1"/>
    <col min="9739" max="9749" width="8.88671875" style="424" hidden="1" customWidth="1"/>
    <col min="9750" max="9984" width="8.88671875" style="424" hidden="1"/>
    <col min="9985" max="9985" width="32.6640625" style="424" hidden="1" customWidth="1"/>
    <col min="9986" max="9987" width="12.109375" style="424" hidden="1" customWidth="1"/>
    <col min="9988" max="9988" width="12.88671875" style="424" hidden="1" customWidth="1"/>
    <col min="9989" max="9994" width="12.109375" style="424" hidden="1" customWidth="1"/>
    <col min="9995" max="10005" width="8.88671875" style="424" hidden="1" customWidth="1"/>
    <col min="10006" max="10240" width="8.88671875" style="424" hidden="1"/>
    <col min="10241" max="10241" width="32.6640625" style="424" hidden="1" customWidth="1"/>
    <col min="10242" max="10243" width="12.109375" style="424" hidden="1" customWidth="1"/>
    <col min="10244" max="10244" width="12.88671875" style="424" hidden="1" customWidth="1"/>
    <col min="10245" max="10250" width="12.109375" style="424" hidden="1" customWidth="1"/>
    <col min="10251" max="10261" width="8.88671875" style="424" hidden="1" customWidth="1"/>
    <col min="10262" max="10496" width="8.88671875" style="424" hidden="1"/>
    <col min="10497" max="10497" width="32.6640625" style="424" hidden="1" customWidth="1"/>
    <col min="10498" max="10499" width="12.109375" style="424" hidden="1" customWidth="1"/>
    <col min="10500" max="10500" width="12.88671875" style="424" hidden="1" customWidth="1"/>
    <col min="10501" max="10506" width="12.109375" style="424" hidden="1" customWidth="1"/>
    <col min="10507" max="10517" width="8.88671875" style="424" hidden="1" customWidth="1"/>
    <col min="10518" max="10752" width="8.88671875" style="424" hidden="1"/>
    <col min="10753" max="10753" width="32.6640625" style="424" hidden="1" customWidth="1"/>
    <col min="10754" max="10755" width="12.109375" style="424" hidden="1" customWidth="1"/>
    <col min="10756" max="10756" width="12.88671875" style="424" hidden="1" customWidth="1"/>
    <col min="10757" max="10762" width="12.109375" style="424" hidden="1" customWidth="1"/>
    <col min="10763" max="10773" width="8.88671875" style="424" hidden="1" customWidth="1"/>
    <col min="10774" max="11008" width="8.88671875" style="424" hidden="1"/>
    <col min="11009" max="11009" width="32.6640625" style="424" hidden="1" customWidth="1"/>
    <col min="11010" max="11011" width="12.109375" style="424" hidden="1" customWidth="1"/>
    <col min="11012" max="11012" width="12.88671875" style="424" hidden="1" customWidth="1"/>
    <col min="11013" max="11018" width="12.109375" style="424" hidden="1" customWidth="1"/>
    <col min="11019" max="11029" width="8.88671875" style="424" hidden="1" customWidth="1"/>
    <col min="11030" max="11264" width="8.88671875" style="424" hidden="1"/>
    <col min="11265" max="11265" width="32.6640625" style="424" hidden="1" customWidth="1"/>
    <col min="11266" max="11267" width="12.109375" style="424" hidden="1" customWidth="1"/>
    <col min="11268" max="11268" width="12.88671875" style="424" hidden="1" customWidth="1"/>
    <col min="11269" max="11274" width="12.109375" style="424" hidden="1" customWidth="1"/>
    <col min="11275" max="11285" width="8.88671875" style="424" hidden="1" customWidth="1"/>
    <col min="11286" max="11520" width="8.88671875" style="424" hidden="1"/>
    <col min="11521" max="11521" width="32.6640625" style="424" hidden="1" customWidth="1"/>
    <col min="11522" max="11523" width="12.109375" style="424" hidden="1" customWidth="1"/>
    <col min="11524" max="11524" width="12.88671875" style="424" hidden="1" customWidth="1"/>
    <col min="11525" max="11530" width="12.109375" style="424" hidden="1" customWidth="1"/>
    <col min="11531" max="11541" width="8.88671875" style="424" hidden="1" customWidth="1"/>
    <col min="11542" max="11776" width="8.88671875" style="424" hidden="1"/>
    <col min="11777" max="11777" width="32.6640625" style="424" hidden="1" customWidth="1"/>
    <col min="11778" max="11779" width="12.109375" style="424" hidden="1" customWidth="1"/>
    <col min="11780" max="11780" width="12.88671875" style="424" hidden="1" customWidth="1"/>
    <col min="11781" max="11786" width="12.109375" style="424" hidden="1" customWidth="1"/>
    <col min="11787" max="11797" width="8.88671875" style="424" hidden="1" customWidth="1"/>
    <col min="11798" max="12032" width="8.88671875" style="424" hidden="1"/>
    <col min="12033" max="12033" width="32.6640625" style="424" hidden="1" customWidth="1"/>
    <col min="12034" max="12035" width="12.109375" style="424" hidden="1" customWidth="1"/>
    <col min="12036" max="12036" width="12.88671875" style="424" hidden="1" customWidth="1"/>
    <col min="12037" max="12042" width="12.109375" style="424" hidden="1" customWidth="1"/>
    <col min="12043" max="12053" width="8.88671875" style="424" hidden="1" customWidth="1"/>
    <col min="12054" max="12288" width="8.88671875" style="424" hidden="1"/>
    <col min="12289" max="12289" width="32.6640625" style="424" hidden="1" customWidth="1"/>
    <col min="12290" max="12291" width="12.109375" style="424" hidden="1" customWidth="1"/>
    <col min="12292" max="12292" width="12.88671875" style="424" hidden="1" customWidth="1"/>
    <col min="12293" max="12298" width="12.109375" style="424" hidden="1" customWidth="1"/>
    <col min="12299" max="12309" width="8.88671875" style="424" hidden="1" customWidth="1"/>
    <col min="12310" max="12544" width="8.88671875" style="424" hidden="1"/>
    <col min="12545" max="12545" width="32.6640625" style="424" hidden="1" customWidth="1"/>
    <col min="12546" max="12547" width="12.109375" style="424" hidden="1" customWidth="1"/>
    <col min="12548" max="12548" width="12.88671875" style="424" hidden="1" customWidth="1"/>
    <col min="12549" max="12554" width="12.109375" style="424" hidden="1" customWidth="1"/>
    <col min="12555" max="12565" width="8.88671875" style="424" hidden="1" customWidth="1"/>
    <col min="12566" max="12800" width="8.88671875" style="424" hidden="1"/>
    <col min="12801" max="12801" width="32.6640625" style="424" hidden="1" customWidth="1"/>
    <col min="12802" max="12803" width="12.109375" style="424" hidden="1" customWidth="1"/>
    <col min="12804" max="12804" width="12.88671875" style="424" hidden="1" customWidth="1"/>
    <col min="12805" max="12810" width="12.109375" style="424" hidden="1" customWidth="1"/>
    <col min="12811" max="12821" width="8.88671875" style="424" hidden="1" customWidth="1"/>
    <col min="12822" max="13056" width="8.88671875" style="424" hidden="1"/>
    <col min="13057" max="13057" width="32.6640625" style="424" hidden="1" customWidth="1"/>
    <col min="13058" max="13059" width="12.109375" style="424" hidden="1" customWidth="1"/>
    <col min="13060" max="13060" width="12.88671875" style="424" hidden="1" customWidth="1"/>
    <col min="13061" max="13066" width="12.109375" style="424" hidden="1" customWidth="1"/>
    <col min="13067" max="13077" width="8.88671875" style="424" hidden="1" customWidth="1"/>
    <col min="13078" max="13312" width="8.88671875" style="424" hidden="1"/>
    <col min="13313" max="13313" width="32.6640625" style="424" hidden="1" customWidth="1"/>
    <col min="13314" max="13315" width="12.109375" style="424" hidden="1" customWidth="1"/>
    <col min="13316" max="13316" width="12.88671875" style="424" hidden="1" customWidth="1"/>
    <col min="13317" max="13322" width="12.109375" style="424" hidden="1" customWidth="1"/>
    <col min="13323" max="13333" width="8.88671875" style="424" hidden="1" customWidth="1"/>
    <col min="13334" max="13568" width="8.88671875" style="424" hidden="1"/>
    <col min="13569" max="13569" width="32.6640625" style="424" hidden="1" customWidth="1"/>
    <col min="13570" max="13571" width="12.109375" style="424" hidden="1" customWidth="1"/>
    <col min="13572" max="13572" width="12.88671875" style="424" hidden="1" customWidth="1"/>
    <col min="13573" max="13578" width="12.109375" style="424" hidden="1" customWidth="1"/>
    <col min="13579" max="13589" width="8.88671875" style="424" hidden="1" customWidth="1"/>
    <col min="13590" max="13824" width="8.88671875" style="424" hidden="1"/>
    <col min="13825" max="13825" width="32.6640625" style="424" hidden="1" customWidth="1"/>
    <col min="13826" max="13827" width="12.109375" style="424" hidden="1" customWidth="1"/>
    <col min="13828" max="13828" width="12.88671875" style="424" hidden="1" customWidth="1"/>
    <col min="13829" max="13834" width="12.109375" style="424" hidden="1" customWidth="1"/>
    <col min="13835" max="13845" width="8.88671875" style="424" hidden="1" customWidth="1"/>
    <col min="13846" max="14080" width="8.88671875" style="424" hidden="1"/>
    <col min="14081" max="14081" width="32.6640625" style="424" hidden="1" customWidth="1"/>
    <col min="14082" max="14083" width="12.109375" style="424" hidden="1" customWidth="1"/>
    <col min="14084" max="14084" width="12.88671875" style="424" hidden="1" customWidth="1"/>
    <col min="14085" max="14090" width="12.109375" style="424" hidden="1" customWidth="1"/>
    <col min="14091" max="14101" width="8.88671875" style="424" hidden="1" customWidth="1"/>
    <col min="14102" max="14336" width="8.88671875" style="424" hidden="1"/>
    <col min="14337" max="14337" width="32.6640625" style="424" hidden="1" customWidth="1"/>
    <col min="14338" max="14339" width="12.109375" style="424" hidden="1" customWidth="1"/>
    <col min="14340" max="14340" width="12.88671875" style="424" hidden="1" customWidth="1"/>
    <col min="14341" max="14346" width="12.109375" style="424" hidden="1" customWidth="1"/>
    <col min="14347" max="14357" width="8.88671875" style="424" hidden="1" customWidth="1"/>
    <col min="14358" max="14592" width="8.88671875" style="424" hidden="1"/>
    <col min="14593" max="14593" width="32.6640625" style="424" hidden="1" customWidth="1"/>
    <col min="14594" max="14595" width="12.109375" style="424" hidden="1" customWidth="1"/>
    <col min="14596" max="14596" width="12.88671875" style="424" hidden="1" customWidth="1"/>
    <col min="14597" max="14602" width="12.109375" style="424" hidden="1" customWidth="1"/>
    <col min="14603" max="14613" width="8.88671875" style="424" hidden="1" customWidth="1"/>
    <col min="14614" max="14848" width="8.88671875" style="424" hidden="1"/>
    <col min="14849" max="14849" width="32.6640625" style="424" hidden="1" customWidth="1"/>
    <col min="14850" max="14851" width="12.109375" style="424" hidden="1" customWidth="1"/>
    <col min="14852" max="14852" width="12.88671875" style="424" hidden="1" customWidth="1"/>
    <col min="14853" max="14858" width="12.109375" style="424" hidden="1" customWidth="1"/>
    <col min="14859" max="14869" width="8.88671875" style="424" hidden="1" customWidth="1"/>
    <col min="14870" max="15104" width="8.88671875" style="424" hidden="1"/>
    <col min="15105" max="15105" width="32.6640625" style="424" hidden="1" customWidth="1"/>
    <col min="15106" max="15107" width="12.109375" style="424" hidden="1" customWidth="1"/>
    <col min="15108" max="15108" width="12.88671875" style="424" hidden="1" customWidth="1"/>
    <col min="15109" max="15114" width="12.109375" style="424" hidden="1" customWidth="1"/>
    <col min="15115" max="15125" width="8.88671875" style="424" hidden="1" customWidth="1"/>
    <col min="15126" max="15360" width="8.88671875" style="424" hidden="1"/>
    <col min="15361" max="15361" width="32.6640625" style="424" hidden="1" customWidth="1"/>
    <col min="15362" max="15363" width="12.109375" style="424" hidden="1" customWidth="1"/>
    <col min="15364" max="15364" width="12.88671875" style="424" hidden="1" customWidth="1"/>
    <col min="15365" max="15370" width="12.109375" style="424" hidden="1" customWidth="1"/>
    <col min="15371" max="15381" width="8.88671875" style="424" hidden="1" customWidth="1"/>
    <col min="15382" max="15616" width="8.88671875" style="424" hidden="1"/>
    <col min="15617" max="15617" width="32.6640625" style="424" hidden="1" customWidth="1"/>
    <col min="15618" max="15619" width="12.109375" style="424" hidden="1" customWidth="1"/>
    <col min="15620" max="15620" width="12.88671875" style="424" hidden="1" customWidth="1"/>
    <col min="15621" max="15626" width="12.109375" style="424" hidden="1" customWidth="1"/>
    <col min="15627" max="15637" width="8.88671875" style="424" hidden="1" customWidth="1"/>
    <col min="15638" max="15872" width="8.88671875" style="424" hidden="1"/>
    <col min="15873" max="15873" width="32.6640625" style="424" hidden="1" customWidth="1"/>
    <col min="15874" max="15875" width="12.109375" style="424" hidden="1" customWidth="1"/>
    <col min="15876" max="15876" width="12.88671875" style="424" hidden="1" customWidth="1"/>
    <col min="15877" max="15882" width="12.109375" style="424" hidden="1" customWidth="1"/>
    <col min="15883" max="15893" width="8.88671875" style="424" hidden="1" customWidth="1"/>
    <col min="15894" max="16128" width="8.88671875" style="424" hidden="1"/>
    <col min="16129" max="16129" width="32.6640625" style="424" hidden="1" customWidth="1"/>
    <col min="16130" max="16131" width="12.109375" style="424" hidden="1" customWidth="1"/>
    <col min="16132" max="16132" width="12.88671875" style="424" hidden="1" customWidth="1"/>
    <col min="16133" max="16138" width="12.109375" style="424" hidden="1" customWidth="1"/>
    <col min="16139" max="16149" width="8.88671875" style="424" hidden="1" customWidth="1"/>
    <col min="16150" max="16384" width="8.88671875" style="424" hidden="1"/>
  </cols>
  <sheetData>
    <row r="1" spans="1:11" s="387" customFormat="1" ht="13.2">
      <c r="A1" s="1885" t="s">
        <v>1334</v>
      </c>
      <c r="B1" s="1886"/>
      <c r="C1" s="1886"/>
      <c r="D1" s="1886"/>
      <c r="E1" s="1886"/>
      <c r="F1" s="1886"/>
      <c r="G1" s="1886"/>
      <c r="H1" s="1886"/>
      <c r="I1" s="1886"/>
      <c r="J1" s="1887"/>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3600000</v>
      </c>
      <c r="C4" s="393"/>
      <c r="D4" s="393"/>
      <c r="E4" s="394"/>
      <c r="F4" s="394"/>
      <c r="G4" s="394"/>
      <c r="H4" s="394"/>
      <c r="I4" s="394"/>
      <c r="J4" s="394"/>
      <c r="K4" s="390"/>
    </row>
    <row r="5" spans="1:11" s="391" customFormat="1" ht="11.4">
      <c r="A5" s="395" t="s">
        <v>28</v>
      </c>
      <c r="B5" s="392">
        <f>'Sources and Uses Budget'!C5</f>
        <v>0</v>
      </c>
      <c r="C5" s="393"/>
      <c r="D5" s="393"/>
      <c r="E5" s="394"/>
      <c r="F5" s="394"/>
      <c r="G5" s="394"/>
      <c r="H5" s="394"/>
      <c r="I5" s="394"/>
      <c r="J5" s="394"/>
      <c r="K5" s="390"/>
    </row>
    <row r="6" spans="1:11" s="391" customFormat="1" ht="11.4">
      <c r="A6" s="395" t="s">
        <v>29</v>
      </c>
      <c r="B6" s="392">
        <f>'Sources and Uses Budget'!C6</f>
        <v>0</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601</v>
      </c>
      <c r="B8" s="392">
        <f>'Sources and Uses Budget'!C8</f>
        <v>3600000</v>
      </c>
      <c r="C8" s="392">
        <f>SUM(C4:C7)</f>
        <v>0</v>
      </c>
      <c r="D8" s="392">
        <f>SUM(D4:D7)</f>
        <v>0</v>
      </c>
      <c r="E8" s="394"/>
      <c r="F8" s="394"/>
      <c r="G8" s="394"/>
      <c r="H8" s="394"/>
      <c r="I8" s="394"/>
      <c r="J8" s="394"/>
      <c r="K8" s="390"/>
    </row>
    <row r="9" spans="1:11" s="391" customFormat="1" ht="11.4">
      <c r="A9" s="395" t="s">
        <v>602</v>
      </c>
      <c r="B9" s="392">
        <f>'Sources and Uses Budget'!C9</f>
        <v>0</v>
      </c>
      <c r="C9" s="393"/>
      <c r="D9" s="393"/>
      <c r="E9" s="394"/>
      <c r="F9" s="394"/>
      <c r="G9" s="394"/>
      <c r="H9" s="392">
        <f>'Sources and Uses Budget'!T9</f>
        <v>0</v>
      </c>
      <c r="I9" s="393"/>
      <c r="J9" s="393"/>
      <c r="K9" s="390"/>
    </row>
    <row r="10" spans="1:11" s="391" customFormat="1" ht="11.4">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3600000</v>
      </c>
      <c r="C12" s="392">
        <f>SUM(C8+C11)</f>
        <v>0</v>
      </c>
      <c r="D12" s="392">
        <f>SUM(D8+D11)</f>
        <v>0</v>
      </c>
      <c r="E12" s="394"/>
      <c r="F12" s="394"/>
      <c r="G12" s="394"/>
      <c r="H12" s="394"/>
      <c r="I12" s="394"/>
      <c r="J12" s="394"/>
      <c r="K12" s="390"/>
    </row>
    <row r="13" spans="1:11" s="391" customFormat="1" ht="11.4">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605</v>
      </c>
      <c r="B16" s="389"/>
      <c r="C16" s="389"/>
      <c r="D16" s="389"/>
      <c r="E16" s="389"/>
      <c r="F16" s="389"/>
      <c r="G16" s="389"/>
      <c r="H16" s="389"/>
      <c r="I16" s="389"/>
      <c r="J16" s="389"/>
      <c r="K16" s="390"/>
    </row>
    <row r="17" spans="1:11" s="391" customFormat="1" ht="11.4">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606</v>
      </c>
      <c r="B29" s="392">
        <f>'Sources and Uses Budget'!C29</f>
        <v>3799976</v>
      </c>
      <c r="C29" s="393"/>
      <c r="D29" s="393"/>
      <c r="E29" s="392">
        <f>'Sources and Uses Budget'!S29</f>
        <v>3420949</v>
      </c>
      <c r="F29" s="393"/>
      <c r="G29" s="393"/>
      <c r="H29" s="392">
        <f>'Sources and Uses Budget'!T29</f>
        <v>0</v>
      </c>
      <c r="I29" s="393"/>
      <c r="J29" s="393"/>
      <c r="K29" s="390"/>
    </row>
    <row r="30" spans="1:11" s="391" customFormat="1" ht="11.4">
      <c r="A30" s="145" t="s">
        <v>607</v>
      </c>
      <c r="B30" s="392">
        <f>'Sources and Uses Budget'!C30</f>
        <v>35915523</v>
      </c>
      <c r="C30" s="393"/>
      <c r="D30" s="393"/>
      <c r="E30" s="392">
        <f>'Sources and Uses Budget'!S30</f>
        <v>35915523</v>
      </c>
      <c r="F30" s="393"/>
      <c r="G30" s="393"/>
      <c r="H30" s="392">
        <f>'Sources and Uses Budget'!T30</f>
        <v>0</v>
      </c>
      <c r="I30" s="393"/>
      <c r="J30" s="393"/>
      <c r="K30" s="390"/>
    </row>
    <row r="31" spans="1:11" s="391" customFormat="1" ht="11.4">
      <c r="A31" s="145" t="s">
        <v>608</v>
      </c>
      <c r="B31" s="392">
        <f>'Sources and Uses Budget'!C31</f>
        <v>2382930</v>
      </c>
      <c r="C31" s="393"/>
      <c r="D31" s="393"/>
      <c r="E31" s="392">
        <f>'Sources and Uses Budget'!S31</f>
        <v>2382930</v>
      </c>
      <c r="F31" s="393"/>
      <c r="G31" s="393"/>
      <c r="H31" s="392">
        <f>'Sources and Uses Budget'!T31</f>
        <v>0</v>
      </c>
      <c r="I31" s="393"/>
      <c r="J31" s="393"/>
      <c r="K31" s="390"/>
    </row>
    <row r="32" spans="1:11" s="391" customFormat="1" ht="11.4">
      <c r="A32" s="145" t="s">
        <v>137</v>
      </c>
      <c r="B32" s="392">
        <f>'Sources and Uses Budget'!C32</f>
        <v>794310</v>
      </c>
      <c r="C32" s="393"/>
      <c r="D32" s="393"/>
      <c r="E32" s="392">
        <f>'Sources and Uses Budget'!S32</f>
        <v>794310</v>
      </c>
      <c r="F32" s="393"/>
      <c r="G32" s="393"/>
      <c r="H32" s="392">
        <f>'Sources and Uses Budget'!T32</f>
        <v>0</v>
      </c>
      <c r="I32" s="393"/>
      <c r="J32" s="393"/>
      <c r="K32" s="390"/>
    </row>
    <row r="33" spans="1:11" s="391" customFormat="1" ht="11.4">
      <c r="A33" s="145" t="s">
        <v>138</v>
      </c>
      <c r="B33" s="392">
        <f>'Sources and Uses Budget'!C33</f>
        <v>2382930</v>
      </c>
      <c r="C33" s="393"/>
      <c r="D33" s="393"/>
      <c r="E33" s="392">
        <f>'Sources and Uses Budget'!S33</f>
        <v>2382930</v>
      </c>
      <c r="F33" s="393"/>
      <c r="G33" s="393"/>
      <c r="H33" s="392">
        <f>'Sources and Uses Budget'!T33</f>
        <v>0</v>
      </c>
      <c r="I33" s="393"/>
      <c r="J33" s="393"/>
      <c r="K33" s="390"/>
    </row>
    <row r="34" spans="1:11" s="391" customFormat="1" ht="11.4">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1.4">
      <c r="A35" s="145" t="s">
        <v>140</v>
      </c>
      <c r="B35" s="392">
        <f>'Sources and Uses Budget'!C35</f>
        <v>452757</v>
      </c>
      <c r="C35" s="393"/>
      <c r="D35" s="393"/>
      <c r="E35" s="392">
        <f>'Sources and Uses Budget'!S35</f>
        <v>452757</v>
      </c>
      <c r="F35" s="393"/>
      <c r="G35" s="393"/>
      <c r="H35" s="392">
        <f>'Sources and Uses Budget'!T35</f>
        <v>0</v>
      </c>
      <c r="I35" s="393"/>
      <c r="J35" s="393"/>
      <c r="K35" s="390"/>
    </row>
    <row r="36" spans="1:11" s="391" customFormat="1" ht="11.4">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ht="11.4">
      <c r="A37" s="395" t="str">
        <f>'Sources and Uses Budget'!$A37</f>
        <v>Performance Bond</v>
      </c>
      <c r="B37" s="392">
        <f>'Sources and Uses Budget'!C37</f>
        <v>452757</v>
      </c>
      <c r="C37" s="393"/>
      <c r="D37" s="393"/>
      <c r="E37" s="392">
        <f>'Sources and Uses Budget'!S37</f>
        <v>452757</v>
      </c>
      <c r="F37" s="393"/>
      <c r="G37" s="393"/>
      <c r="H37" s="392">
        <f>'Sources and Uses Budget'!T37</f>
        <v>0</v>
      </c>
      <c r="I37" s="393"/>
      <c r="J37" s="393"/>
      <c r="K37" s="390"/>
    </row>
    <row r="38" spans="1:11" s="391" customFormat="1">
      <c r="A38" s="396" t="s">
        <v>143</v>
      </c>
      <c r="B38" s="392">
        <f>'Sources and Uses Budget'!C38</f>
        <v>46181183</v>
      </c>
      <c r="C38" s="392">
        <f>SUM(C29:C37)</f>
        <v>0</v>
      </c>
      <c r="D38" s="392">
        <f>SUM(D29:D37)</f>
        <v>0</v>
      </c>
      <c r="E38" s="392">
        <f>'Sources and Uses Budget'!S38</f>
        <v>45802156</v>
      </c>
      <c r="F38" s="398">
        <f>SUM(F29:F37)</f>
        <v>0</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980000</v>
      </c>
      <c r="C40" s="393"/>
      <c r="D40" s="393"/>
      <c r="E40" s="392">
        <f>'Sources and Uses Budget'!S40</f>
        <v>980000</v>
      </c>
      <c r="F40" s="393"/>
      <c r="G40" s="393"/>
      <c r="H40" s="392">
        <f>'Sources and Uses Budget'!T40</f>
        <v>0</v>
      </c>
      <c r="I40" s="393"/>
      <c r="J40" s="393"/>
      <c r="K40" s="390"/>
    </row>
    <row r="41" spans="1:11" s="391" customFormat="1" ht="11.4">
      <c r="A41" s="395" t="s">
        <v>146</v>
      </c>
      <c r="B41" s="392">
        <f>'Sources and Uses Budget'!C41</f>
        <v>120000</v>
      </c>
      <c r="C41" s="393"/>
      <c r="D41" s="393"/>
      <c r="E41" s="392">
        <f>'Sources and Uses Budget'!S41</f>
        <v>120000</v>
      </c>
      <c r="F41" s="393"/>
      <c r="G41" s="393"/>
      <c r="H41" s="392">
        <f>'Sources and Uses Budget'!T41</f>
        <v>0</v>
      </c>
      <c r="I41" s="393"/>
      <c r="J41" s="393"/>
      <c r="K41" s="390"/>
    </row>
    <row r="42" spans="1:11" s="391" customFormat="1">
      <c r="A42" s="396" t="s">
        <v>147</v>
      </c>
      <c r="B42" s="392">
        <f>'Sources and Uses Budget'!C42</f>
        <v>1100000</v>
      </c>
      <c r="C42" s="392">
        <f>SUM(C39:C41)</f>
        <v>0</v>
      </c>
      <c r="D42" s="392">
        <f>SUM(D39:D41)</f>
        <v>0</v>
      </c>
      <c r="E42" s="392">
        <f>'Sources and Uses Budget'!S42</f>
        <v>1100000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0</v>
      </c>
      <c r="C43" s="393"/>
      <c r="D43" s="393"/>
      <c r="E43" s="392">
        <f>'Sources and Uses Budget'!S43</f>
        <v>0</v>
      </c>
      <c r="F43" s="393"/>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3887718</v>
      </c>
      <c r="C45" s="393"/>
      <c r="D45" s="393"/>
      <c r="E45" s="392">
        <f>'Sources and Uses Budget'!S45</f>
        <v>3110175</v>
      </c>
      <c r="F45" s="393"/>
      <c r="G45" s="393"/>
      <c r="H45" s="392">
        <f>'Sources and Uses Budget'!T45</f>
        <v>0</v>
      </c>
      <c r="I45" s="393"/>
      <c r="J45" s="393"/>
      <c r="K45" s="390"/>
    </row>
    <row r="46" spans="1:11" s="391" customFormat="1" ht="11.4">
      <c r="A46" s="395" t="s">
        <v>151</v>
      </c>
      <c r="B46" s="392">
        <f>'Sources and Uses Budget'!C46</f>
        <v>458000</v>
      </c>
      <c r="C46" s="393"/>
      <c r="D46" s="393"/>
      <c r="E46" s="392">
        <f>'Sources and Uses Budget'!S46</f>
        <v>458000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ht="11.4">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1.4">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ht="11.4">
      <c r="A50" s="395" t="s">
        <v>156</v>
      </c>
      <c r="B50" s="392">
        <f>'Sources and Uses Budget'!C50</f>
        <v>11000</v>
      </c>
      <c r="C50" s="393"/>
      <c r="D50" s="393"/>
      <c r="E50" s="392">
        <f>'Sources and Uses Budget'!S50</f>
        <v>11000</v>
      </c>
      <c r="F50" s="393"/>
      <c r="G50" s="393"/>
      <c r="H50" s="392">
        <f>'Sources and Uses Budget'!T50</f>
        <v>0</v>
      </c>
      <c r="I50" s="393"/>
      <c r="J50" s="393"/>
      <c r="K50" s="390"/>
    </row>
    <row r="51" spans="1:11" s="391" customFormat="1" ht="11.4">
      <c r="A51" s="395" t="s">
        <v>154</v>
      </c>
      <c r="B51" s="392">
        <f>'Sources and Uses Budget'!C51</f>
        <v>20000</v>
      </c>
      <c r="C51" s="393"/>
      <c r="D51" s="393"/>
      <c r="E51" s="392">
        <f>'Sources and Uses Budget'!S51</f>
        <v>20000</v>
      </c>
      <c r="F51" s="393"/>
      <c r="G51" s="393"/>
      <c r="H51" s="392">
        <f>'Sources and Uses Budget'!T51</f>
        <v>0</v>
      </c>
      <c r="I51" s="393"/>
      <c r="J51" s="393"/>
      <c r="K51" s="390"/>
    </row>
    <row r="52" spans="1:11" s="391" customFormat="1" ht="11.4">
      <c r="A52" s="395" t="s">
        <v>155</v>
      </c>
      <c r="B52" s="392">
        <f>'Sources and Uses Budget'!C52</f>
        <v>20000</v>
      </c>
      <c r="C52" s="393"/>
      <c r="D52" s="393"/>
      <c r="E52" s="392">
        <f>'Sources and Uses Budget'!S52</f>
        <v>20000</v>
      </c>
      <c r="F52" s="393"/>
      <c r="G52" s="393"/>
      <c r="H52" s="392">
        <f>'Sources and Uses Budget'!T52</f>
        <v>0</v>
      </c>
      <c r="I52" s="393"/>
      <c r="J52" s="393"/>
      <c r="K52" s="390"/>
    </row>
    <row r="53" spans="1:11" s="391" customFormat="1" ht="11.4">
      <c r="A53" s="395" t="str">
        <f>'Sources and Uses Budget'!$A53</f>
        <v>CDLAC App and  Bond Fees</v>
      </c>
      <c r="B53" s="392">
        <f>'Sources and Uses Budget'!C53</f>
        <v>208918</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4605636</v>
      </c>
      <c r="C54" s="398">
        <f>SUM(C45:C53)</f>
        <v>0</v>
      </c>
      <c r="D54" s="398">
        <f>SUM(D45:D53)</f>
        <v>0</v>
      </c>
      <c r="E54" s="392">
        <f>'Sources and Uses Budget'!S54</f>
        <v>3619175</v>
      </c>
      <c r="F54" s="398">
        <f>SUM(F45:F53)</f>
        <v>0</v>
      </c>
      <c r="G54" s="398">
        <f>SUM(G45:G53)</f>
        <v>0</v>
      </c>
      <c r="H54" s="392">
        <f>'Sources and Uses Budget'!T54</f>
        <v>0</v>
      </c>
      <c r="I54" s="398">
        <f>SUM(I45:I53)</f>
        <v>0</v>
      </c>
      <c r="J54" s="398">
        <f>SUM(J45:J53)</f>
        <v>0</v>
      </c>
      <c r="K54" s="399"/>
    </row>
    <row r="55" spans="1:11" s="391" customFormat="1" ht="11.4">
      <c r="A55" s="388" t="s">
        <v>419</v>
      </c>
      <c r="B55" s="389"/>
      <c r="C55" s="389"/>
      <c r="D55" s="389"/>
      <c r="E55" s="389"/>
      <c r="F55" s="389"/>
      <c r="G55" s="389"/>
      <c r="H55" s="389"/>
      <c r="I55" s="389"/>
      <c r="J55" s="389"/>
      <c r="K55" s="390"/>
    </row>
    <row r="56" spans="1:11" s="391" customFormat="1" ht="11.4">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1.4">
      <c r="A58" s="395" t="s">
        <v>156</v>
      </c>
      <c r="B58" s="392">
        <f>'Sources and Uses Budget'!C58</f>
        <v>75000</v>
      </c>
      <c r="C58" s="393"/>
      <c r="D58" s="393"/>
      <c r="E58" s="394"/>
      <c r="F58" s="394"/>
      <c r="G58" s="394"/>
      <c r="H58" s="394"/>
      <c r="I58" s="394"/>
      <c r="J58" s="394"/>
      <c r="K58" s="390"/>
    </row>
    <row r="59" spans="1:11" s="391" customFormat="1" ht="11.4">
      <c r="A59" s="395" t="s">
        <v>154</v>
      </c>
      <c r="B59" s="392">
        <f>'Sources and Uses Budget'!C59</f>
        <v>0</v>
      </c>
      <c r="C59" s="393"/>
      <c r="D59" s="393"/>
      <c r="E59" s="394"/>
      <c r="F59" s="394"/>
      <c r="G59" s="394"/>
      <c r="H59" s="394"/>
      <c r="I59" s="394"/>
      <c r="J59" s="394"/>
      <c r="K59" s="390"/>
    </row>
    <row r="60" spans="1:11" s="391" customFormat="1" ht="11.4">
      <c r="A60" s="395" t="s">
        <v>155</v>
      </c>
      <c r="B60" s="392">
        <f>'Sources and Uses Budget'!C60</f>
        <v>0</v>
      </c>
      <c r="C60" s="393"/>
      <c r="D60" s="393"/>
      <c r="E60" s="394"/>
      <c r="F60" s="394"/>
      <c r="G60" s="394"/>
      <c r="H60" s="394"/>
      <c r="I60" s="394"/>
      <c r="J60" s="394"/>
      <c r="K60" s="390"/>
    </row>
    <row r="61" spans="1:11" s="391" customFormat="1" ht="11.4">
      <c r="A61" s="395">
        <f>'Sources and Uses Budget'!$A61</f>
        <v>0</v>
      </c>
      <c r="B61" s="392">
        <f>'Sources and Uses Budget'!C61</f>
        <v>0</v>
      </c>
      <c r="C61" s="393"/>
      <c r="D61" s="393"/>
      <c r="E61" s="394"/>
      <c r="F61" s="394"/>
      <c r="G61" s="394"/>
      <c r="H61" s="394"/>
      <c r="I61" s="394"/>
      <c r="J61" s="394"/>
      <c r="K61" s="390"/>
    </row>
    <row r="62" spans="1:11" s="391" customFormat="1" ht="13.65" customHeight="1">
      <c r="A62" s="396" t="s">
        <v>302</v>
      </c>
      <c r="B62" s="392">
        <f>'Sources and Uses Budget'!C62</f>
        <v>75000</v>
      </c>
      <c r="C62" s="392">
        <f>SUM(C56:C61)</f>
        <v>0</v>
      </c>
      <c r="D62" s="392">
        <f>SUM(D56:D61)</f>
        <v>0</v>
      </c>
      <c r="E62" s="394"/>
      <c r="F62" s="394"/>
      <c r="G62" s="394"/>
      <c r="H62" s="394"/>
      <c r="I62" s="394"/>
      <c r="J62" s="394"/>
      <c r="K62" s="390"/>
    </row>
    <row r="63" spans="1:11" s="391" customFormat="1" ht="11.4">
      <c r="A63" s="401" t="s">
        <v>303</v>
      </c>
      <c r="B63" s="392">
        <f>'Sources and Uses Budget'!C63</f>
        <v>55561819</v>
      </c>
      <c r="C63" s="392">
        <f>SUM(C8+C11+C13+C14+C15+C26+C27+C38+C42+C43+C54+C62)</f>
        <v>0</v>
      </c>
      <c r="D63" s="392">
        <f>SUM(D8+D11+D13+D14+D15+D26+D27+D38+D42+D43+D54+D62)</f>
        <v>0</v>
      </c>
      <c r="E63" s="392">
        <f>'Sources and Uses Budget'!S63</f>
        <v>50521331</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1757</v>
      </c>
      <c r="B64" s="389"/>
      <c r="C64" s="389"/>
      <c r="D64" s="389"/>
      <c r="E64" s="389"/>
      <c r="F64" s="389"/>
      <c r="G64" s="389"/>
      <c r="H64" s="389"/>
      <c r="I64" s="389"/>
      <c r="J64" s="389"/>
      <c r="K64" s="390"/>
    </row>
    <row r="65" spans="1:11" s="391" customFormat="1" ht="11.4">
      <c r="A65" s="145" t="s">
        <v>171</v>
      </c>
      <c r="B65" s="392">
        <f>'Sources and Uses Budget'!C65</f>
        <v>0</v>
      </c>
      <c r="C65" s="393"/>
      <c r="D65" s="393"/>
      <c r="E65" s="392">
        <f>'Sources and Uses Budget'!S65</f>
        <v>0</v>
      </c>
      <c r="F65" s="393"/>
      <c r="G65" s="393"/>
      <c r="H65" s="392">
        <f>'Sources and Uses Budget'!T65</f>
        <v>0</v>
      </c>
      <c r="I65" s="393"/>
      <c r="J65" s="393"/>
      <c r="K65" s="390"/>
    </row>
    <row r="66" spans="1:11" s="391" customFormat="1" ht="22.8">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ht="11.4">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ht="11.4">
      <c r="A69" s="395" t="str">
        <f>'Sources and Uses Budget'!$A69</f>
        <v>Borrower Legal</v>
      </c>
      <c r="B69" s="392">
        <f>'Sources and Uses Budget'!C69</f>
        <v>202500</v>
      </c>
      <c r="C69" s="393"/>
      <c r="D69" s="393"/>
      <c r="E69" s="392">
        <f>'Sources and Uses Budget'!S69</f>
        <v>200000</v>
      </c>
      <c r="F69" s="393"/>
      <c r="G69" s="393"/>
      <c r="H69" s="392">
        <f>'Sources and Uses Budget'!T69</f>
        <v>0</v>
      </c>
      <c r="I69" s="393"/>
      <c r="J69" s="393"/>
      <c r="K69" s="390"/>
    </row>
    <row r="70" spans="1:11" s="391" customFormat="1">
      <c r="A70" s="396" t="s">
        <v>609</v>
      </c>
      <c r="B70" s="392">
        <f>'Sources and Uses Budget'!C70</f>
        <v>202500</v>
      </c>
      <c r="C70" s="392">
        <f>SUM(C64:C69)</f>
        <v>0</v>
      </c>
      <c r="D70" s="392">
        <f>SUM(D64:D69)</f>
        <v>0</v>
      </c>
      <c r="E70" s="392">
        <f>'Sources and Uses Budget'!S70</f>
        <v>200000</v>
      </c>
      <c r="F70" s="398">
        <f>SUM(F65:F69)</f>
        <v>0</v>
      </c>
      <c r="G70" s="398">
        <f>SUM(G65:G69)</f>
        <v>0</v>
      </c>
      <c r="H70" s="392">
        <f>'Sources and Uses Budget'!T70</f>
        <v>0</v>
      </c>
      <c r="I70" s="398">
        <f>SUM(I65:I69)</f>
        <v>0</v>
      </c>
      <c r="J70" s="398">
        <f>SUM(J65:J69)</f>
        <v>0</v>
      </c>
      <c r="K70" s="390"/>
    </row>
    <row r="71" spans="1:11" s="391" customFormat="1" ht="11.4">
      <c r="A71" s="388" t="s">
        <v>610</v>
      </c>
      <c r="B71" s="389"/>
      <c r="C71" s="389"/>
      <c r="D71" s="389"/>
      <c r="E71" s="389"/>
      <c r="F71" s="389"/>
      <c r="G71" s="389"/>
      <c r="H71" s="389"/>
      <c r="I71" s="389"/>
      <c r="J71" s="389"/>
      <c r="K71" s="390"/>
    </row>
    <row r="72" spans="1:11" s="391" customFormat="1" ht="11.4">
      <c r="A72" s="395" t="s">
        <v>611</v>
      </c>
      <c r="B72" s="392">
        <f>'Sources and Uses Budget'!C72</f>
        <v>500000</v>
      </c>
      <c r="C72" s="393"/>
      <c r="D72" s="393"/>
      <c r="E72" s="394"/>
      <c r="F72" s="394"/>
      <c r="G72" s="394"/>
      <c r="H72" s="394"/>
      <c r="I72" s="394"/>
      <c r="J72" s="394"/>
      <c r="K72" s="390"/>
    </row>
    <row r="73" spans="1:11" s="391" customFormat="1" ht="11.4">
      <c r="A73" s="395" t="s">
        <v>612</v>
      </c>
      <c r="B73" s="392">
        <f>'Sources and Uses Budget'!C73</f>
        <v>500000</v>
      </c>
      <c r="C73" s="393"/>
      <c r="D73" s="393"/>
      <c r="E73" s="394"/>
      <c r="F73" s="394"/>
      <c r="G73" s="394"/>
      <c r="H73" s="394"/>
      <c r="I73" s="394"/>
      <c r="J73" s="394"/>
      <c r="K73" s="390"/>
    </row>
    <row r="74" spans="1:11" s="391" customFormat="1" ht="11.4">
      <c r="A74" s="397" t="s">
        <v>1007</v>
      </c>
      <c r="B74" s="392">
        <f>'Sources and Uses Budget'!C74</f>
        <v>166000</v>
      </c>
      <c r="C74" s="393"/>
      <c r="D74" s="393"/>
      <c r="E74" s="394"/>
      <c r="F74" s="394"/>
      <c r="G74" s="394"/>
      <c r="H74" s="394"/>
      <c r="I74" s="394"/>
      <c r="J74" s="394"/>
      <c r="K74" s="390"/>
    </row>
    <row r="75" spans="1:11" s="391" customFormat="1" ht="11.4">
      <c r="A75" s="395" t="s">
        <v>613</v>
      </c>
      <c r="B75" s="392">
        <f>'Sources and Uses Budget'!C75</f>
        <v>1502231</v>
      </c>
      <c r="C75" s="393"/>
      <c r="D75" s="393"/>
      <c r="E75" s="394"/>
      <c r="F75" s="394"/>
      <c r="G75" s="394"/>
      <c r="H75" s="394"/>
      <c r="I75" s="394"/>
      <c r="J75" s="394"/>
      <c r="K75" s="390"/>
    </row>
    <row r="76" spans="1:11" s="391" customFormat="1" ht="11.4">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2668231</v>
      </c>
      <c r="C77" s="392">
        <f>SUM(C72:C76)</f>
        <v>0</v>
      </c>
      <c r="D77" s="392">
        <f>SUM(D72:D76)</f>
        <v>0</v>
      </c>
      <c r="E77" s="394"/>
      <c r="F77" s="394"/>
      <c r="G77" s="394"/>
      <c r="H77" s="394"/>
      <c r="I77" s="394"/>
      <c r="J77" s="394"/>
      <c r="K77" s="390"/>
    </row>
    <row r="78" spans="1:11" s="391" customFormat="1" ht="11.4">
      <c r="A78" s="388" t="s">
        <v>1316</v>
      </c>
      <c r="B78" s="389"/>
      <c r="C78" s="389"/>
      <c r="D78" s="389"/>
      <c r="E78" s="389"/>
      <c r="F78" s="389"/>
      <c r="G78" s="389"/>
      <c r="H78" s="389"/>
      <c r="I78" s="389"/>
      <c r="J78" s="389"/>
      <c r="K78" s="390"/>
    </row>
    <row r="79" spans="1:11" s="391" customFormat="1" ht="11.4">
      <c r="A79" s="395" t="s">
        <v>1318</v>
      </c>
      <c r="B79" s="392">
        <f>'Sources and Uses Budget'!C79</f>
        <v>2263784</v>
      </c>
      <c r="C79" s="393"/>
      <c r="D79" s="393"/>
      <c r="E79" s="392">
        <f>'Sources and Uses Budget'!S79</f>
        <v>1131892</v>
      </c>
      <c r="F79" s="393"/>
      <c r="G79" s="393"/>
      <c r="H79" s="392">
        <f>'Sources and Uses Budget'!T79</f>
        <v>0</v>
      </c>
      <c r="I79" s="393"/>
      <c r="J79" s="393"/>
      <c r="K79" s="390"/>
    </row>
    <row r="80" spans="1:11" s="391" customFormat="1" ht="11.4">
      <c r="A80" s="395" t="s">
        <v>58</v>
      </c>
      <c r="B80" s="392">
        <f>'Sources and Uses Budget'!C80</f>
        <v>100000</v>
      </c>
      <c r="C80" s="393"/>
      <c r="D80" s="393"/>
      <c r="E80" s="392">
        <f>'Sources and Uses Budget'!S80</f>
        <v>100000</v>
      </c>
      <c r="F80" s="393"/>
      <c r="G80" s="393"/>
      <c r="H80" s="392">
        <f>'Sources and Uses Budget'!T80</f>
        <v>0</v>
      </c>
      <c r="I80" s="393"/>
      <c r="J80" s="393"/>
      <c r="K80" s="390"/>
    </row>
    <row r="81" spans="1:11" s="391" customFormat="1">
      <c r="A81" s="396" t="s">
        <v>1315</v>
      </c>
      <c r="B81" s="392">
        <f>'Sources and Uses Budget'!C81</f>
        <v>2363784</v>
      </c>
      <c r="C81" s="392">
        <f>SUM(C79:C80)</f>
        <v>0</v>
      </c>
      <c r="D81" s="392">
        <f>SUM(D79:D80)</f>
        <v>0</v>
      </c>
      <c r="E81" s="392">
        <f>'Sources and Uses Budget'!S81</f>
        <v>1231892</v>
      </c>
      <c r="F81" s="392">
        <f>SUM(F79:F80)</f>
        <v>0</v>
      </c>
      <c r="G81" s="392">
        <f>SUM(G79:G80)</f>
        <v>0</v>
      </c>
      <c r="H81" s="392">
        <f>'Sources and Uses Budget'!T81</f>
        <v>0</v>
      </c>
      <c r="I81" s="392">
        <f>SUM(I79:I80)</f>
        <v>0</v>
      </c>
      <c r="J81" s="392">
        <f>SUM(J79:J80)</f>
        <v>0</v>
      </c>
      <c r="K81" s="390"/>
    </row>
    <row r="82" spans="1:11" s="391" customFormat="1" ht="11.4">
      <c r="A82" s="388" t="s">
        <v>774</v>
      </c>
      <c r="B82" s="389"/>
      <c r="C82" s="389"/>
      <c r="D82" s="389"/>
      <c r="E82" s="389"/>
      <c r="F82" s="389"/>
      <c r="G82" s="389"/>
      <c r="H82" s="389"/>
      <c r="I82" s="389"/>
      <c r="J82" s="389"/>
      <c r="K82" s="390"/>
    </row>
    <row r="83" spans="1:11" s="391" customFormat="1" ht="13.65" customHeight="1">
      <c r="A83" s="145" t="s">
        <v>2408</v>
      </c>
      <c r="B83" s="392">
        <f>'Sources and Uses Budget'!C83</f>
        <v>265310</v>
      </c>
      <c r="C83" s="393"/>
      <c r="D83" s="393"/>
      <c r="E83" s="394"/>
      <c r="F83" s="394"/>
      <c r="G83" s="394"/>
      <c r="H83" s="394"/>
      <c r="I83" s="394"/>
      <c r="J83" s="394"/>
      <c r="K83" s="390"/>
    </row>
    <row r="84" spans="1:11" s="391" customFormat="1" ht="11.4">
      <c r="A84" s="145" t="s">
        <v>776</v>
      </c>
      <c r="B84" s="392">
        <f>'Sources and Uses Budget'!C84</f>
        <v>10000</v>
      </c>
      <c r="C84" s="393"/>
      <c r="D84" s="393"/>
      <c r="E84" s="392">
        <f>'Sources and Uses Budget'!S84</f>
        <v>10000</v>
      </c>
      <c r="F84" s="393"/>
      <c r="G84" s="393"/>
      <c r="H84" s="392">
        <f>'Sources and Uses Budget'!T84</f>
        <v>0</v>
      </c>
      <c r="I84" s="393"/>
      <c r="J84" s="393"/>
      <c r="K84" s="390"/>
    </row>
    <row r="85" spans="1:11" s="391" customFormat="1" ht="11.4">
      <c r="A85" s="145" t="s">
        <v>777</v>
      </c>
      <c r="B85" s="392">
        <f>'Sources and Uses Budget'!C85</f>
        <v>7863853</v>
      </c>
      <c r="C85" s="393"/>
      <c r="D85" s="393"/>
      <c r="E85" s="392">
        <f>'Sources and Uses Budget'!S85</f>
        <v>7863853</v>
      </c>
      <c r="F85" s="393"/>
      <c r="G85" s="393"/>
      <c r="H85" s="392">
        <f>'Sources and Uses Budget'!T85</f>
        <v>0</v>
      </c>
      <c r="I85" s="393"/>
      <c r="J85" s="393"/>
      <c r="K85" s="390"/>
    </row>
    <row r="86" spans="1:11" s="391" customFormat="1" ht="11.4">
      <c r="A86" s="145" t="s">
        <v>778</v>
      </c>
      <c r="B86" s="392">
        <f>'Sources and Uses Budget'!C86</f>
        <v>1294096</v>
      </c>
      <c r="C86" s="393"/>
      <c r="D86" s="393"/>
      <c r="E86" s="392">
        <f>'Sources and Uses Budget'!S86</f>
        <v>1294096</v>
      </c>
      <c r="F86" s="393"/>
      <c r="G86" s="393"/>
      <c r="H86" s="392">
        <f>'Sources and Uses Budget'!T86</f>
        <v>0</v>
      </c>
      <c r="I86" s="393"/>
      <c r="J86" s="393"/>
      <c r="K86" s="390"/>
    </row>
    <row r="87" spans="1:11" s="391" customFormat="1" ht="11.4">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ht="11.4">
      <c r="A88" s="145" t="s">
        <v>780</v>
      </c>
      <c r="B88" s="392">
        <f>'Sources and Uses Budget'!C88</f>
        <v>0</v>
      </c>
      <c r="C88" s="393"/>
      <c r="D88" s="393"/>
      <c r="E88" s="394"/>
      <c r="F88" s="394"/>
      <c r="G88" s="394"/>
      <c r="H88" s="394"/>
      <c r="I88" s="394"/>
      <c r="J88" s="394"/>
      <c r="K88" s="390"/>
    </row>
    <row r="89" spans="1:11" s="391" customFormat="1" ht="11.4">
      <c r="A89" s="145" t="s">
        <v>781</v>
      </c>
      <c r="B89" s="392">
        <f>'Sources and Uses Budget'!C89</f>
        <v>250000</v>
      </c>
      <c r="C89" s="393"/>
      <c r="D89" s="393"/>
      <c r="E89" s="392">
        <f>'Sources and Uses Budget'!S89</f>
        <v>250000</v>
      </c>
      <c r="F89" s="393"/>
      <c r="G89" s="393"/>
      <c r="H89" s="392">
        <f>'Sources and Uses Budget'!T89</f>
        <v>0</v>
      </c>
      <c r="I89" s="393"/>
      <c r="J89" s="393"/>
      <c r="K89" s="390"/>
    </row>
    <row r="90" spans="1:11" s="391" customFormat="1" ht="11.4">
      <c r="A90" s="145" t="s">
        <v>782</v>
      </c>
      <c r="B90" s="392">
        <f>'Sources and Uses Budget'!C90</f>
        <v>10000</v>
      </c>
      <c r="C90" s="393"/>
      <c r="D90" s="393"/>
      <c r="E90" s="392">
        <f>'Sources and Uses Budget'!S90</f>
        <v>10000</v>
      </c>
      <c r="F90" s="393"/>
      <c r="G90" s="393"/>
      <c r="H90" s="392">
        <f>'Sources and Uses Budget'!T90</f>
        <v>0</v>
      </c>
      <c r="I90" s="393"/>
      <c r="J90" s="393"/>
      <c r="K90" s="390"/>
    </row>
    <row r="91" spans="1:11" s="391" customFormat="1" ht="11.4">
      <c r="A91" s="155" t="s">
        <v>373</v>
      </c>
      <c r="B91" s="392">
        <f>'Sources and Uses Budget'!C91</f>
        <v>15000</v>
      </c>
      <c r="C91" s="393"/>
      <c r="D91" s="393"/>
      <c r="E91" s="392">
        <f>'Sources and Uses Budget'!S91</f>
        <v>15000</v>
      </c>
      <c r="F91" s="393"/>
      <c r="G91" s="393"/>
      <c r="H91" s="392">
        <f>'Sources and Uses Budget'!T91</f>
        <v>0</v>
      </c>
      <c r="I91" s="393"/>
      <c r="J91" s="393"/>
      <c r="K91" s="390"/>
    </row>
    <row r="92" spans="1:11" s="391" customFormat="1" ht="11.4">
      <c r="A92" s="542" t="s">
        <v>1317</v>
      </c>
      <c r="B92" s="392">
        <f>'Sources and Uses Budget'!C92</f>
        <v>7500</v>
      </c>
      <c r="C92" s="393"/>
      <c r="D92" s="393"/>
      <c r="E92" s="392">
        <f>'Sources and Uses Budget'!S92</f>
        <v>7500</v>
      </c>
      <c r="F92" s="393"/>
      <c r="G92" s="393"/>
      <c r="H92" s="392">
        <f>'Sources and Uses Budget'!T92</f>
        <v>0</v>
      </c>
      <c r="I92" s="393"/>
      <c r="J92" s="393"/>
      <c r="K92" s="390"/>
    </row>
    <row r="93" spans="1:11" s="391" customFormat="1" ht="11.4">
      <c r="A93" s="395" t="str">
        <f>'Sources and Uses Budget'!$A93</f>
        <v>Housing Authority Fee</v>
      </c>
      <c r="B93" s="392">
        <f>'Sources and Uses Budget'!C93</f>
        <v>150000</v>
      </c>
      <c r="C93" s="393"/>
      <c r="D93" s="393"/>
      <c r="E93" s="392">
        <f>'Sources and Uses Budget'!S93</f>
        <v>0</v>
      </c>
      <c r="F93" s="393"/>
      <c r="G93" s="393"/>
      <c r="H93" s="392">
        <f>'Sources and Uses Budget'!T93</f>
        <v>0</v>
      </c>
      <c r="I93" s="393"/>
      <c r="J93" s="393"/>
      <c r="K93" s="390"/>
    </row>
    <row r="94" spans="1:11" s="391" customFormat="1" ht="11.4">
      <c r="A94" s="395" t="str">
        <f>'Sources and Uses Budget'!$A94</f>
        <v>Materials Testing</v>
      </c>
      <c r="B94" s="392">
        <f>'Sources and Uses Budget'!C94</f>
        <v>50000</v>
      </c>
      <c r="C94" s="393"/>
      <c r="D94" s="393"/>
      <c r="E94" s="392">
        <f>'Sources and Uses Budget'!S94</f>
        <v>50000</v>
      </c>
      <c r="F94" s="393"/>
      <c r="G94" s="393"/>
      <c r="H94" s="392">
        <f>'Sources and Uses Budget'!T94</f>
        <v>0</v>
      </c>
      <c r="I94" s="393"/>
      <c r="J94" s="393"/>
      <c r="K94" s="390"/>
    </row>
    <row r="95" spans="1:11" s="391" customFormat="1" ht="11.4">
      <c r="A95" s="395" t="str">
        <f>'Sources and Uses Budget'!$A95</f>
        <v>Third Party Fees</v>
      </c>
      <c r="B95" s="392">
        <f>'Sources and Uses Budget'!C95</f>
        <v>24450</v>
      </c>
      <c r="C95" s="393"/>
      <c r="D95" s="393"/>
      <c r="E95" s="392">
        <f>'Sources and Uses Budget'!S95</f>
        <v>24450</v>
      </c>
      <c r="F95" s="393"/>
      <c r="G95" s="393"/>
      <c r="H95" s="392">
        <f>'Sources and Uses Budget'!T95</f>
        <v>0</v>
      </c>
      <c r="I95" s="393"/>
      <c r="J95" s="393"/>
      <c r="K95" s="390"/>
    </row>
    <row r="96" spans="1:11" s="391" customFormat="1">
      <c r="A96" s="396" t="s">
        <v>783</v>
      </c>
      <c r="B96" s="392">
        <f>'Sources and Uses Budget'!C96</f>
        <v>9940209</v>
      </c>
      <c r="C96" s="392">
        <f>SUM(C83:C95)</f>
        <v>0</v>
      </c>
      <c r="D96" s="392">
        <f>SUM(D83:D95)</f>
        <v>0</v>
      </c>
      <c r="E96" s="392">
        <f>'Sources and Uses Budget'!S96</f>
        <v>9524899</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70736543</v>
      </c>
      <c r="C97" s="392">
        <f>SUM(C63+C70+C77+C81+C96)</f>
        <v>0</v>
      </c>
      <c r="D97" s="392">
        <f>SUM(D63+D70+D77+D81+D96)</f>
        <v>0</v>
      </c>
      <c r="E97" s="392">
        <f>'Sources and Uses Budget'!S97</f>
        <v>61478122</v>
      </c>
      <c r="F97" s="398">
        <f>SUM(+F63+F70+F81+F96)</f>
        <v>0</v>
      </c>
      <c r="G97" s="398">
        <f>SUM(+G63+G70+G81+G96)</f>
        <v>0</v>
      </c>
      <c r="H97" s="392">
        <f>'Sources and Uses Budget'!T97</f>
        <v>0</v>
      </c>
      <c r="I97" s="398">
        <f>SUM(I63+I70+I81+I96)</f>
        <v>0</v>
      </c>
      <c r="J97" s="398">
        <f>SUM(J63+J70+J81+J96)</f>
        <v>0</v>
      </c>
      <c r="K97" s="390"/>
    </row>
    <row r="98" spans="1:11" s="391" customFormat="1" ht="11.4">
      <c r="A98" s="388" t="s">
        <v>785</v>
      </c>
      <c r="B98" s="389"/>
      <c r="C98" s="389"/>
      <c r="D98" s="389"/>
      <c r="E98" s="389"/>
      <c r="F98" s="389"/>
      <c r="G98" s="389"/>
      <c r="H98" s="389"/>
      <c r="I98" s="389"/>
      <c r="J98" s="389"/>
      <c r="K98" s="390"/>
    </row>
    <row r="99" spans="1:11" s="391" customFormat="1" ht="11.4">
      <c r="A99" s="145" t="s">
        <v>786</v>
      </c>
      <c r="B99" s="392">
        <f>'Sources and Uses Budget'!C99</f>
        <v>9221718</v>
      </c>
      <c r="C99" s="393"/>
      <c r="D99" s="393"/>
      <c r="E99" s="392">
        <f>'Sources and Uses Budget'!S99</f>
        <v>9221718</v>
      </c>
      <c r="F99" s="393"/>
      <c r="G99" s="393"/>
      <c r="H99" s="392">
        <f>'Sources and Uses Budget'!T99</f>
        <v>0</v>
      </c>
      <c r="I99" s="393"/>
      <c r="J99" s="393"/>
      <c r="K99" s="390"/>
    </row>
    <row r="100" spans="1:11" s="391" customFormat="1" ht="11.4">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9221718</v>
      </c>
      <c r="C104" s="392">
        <f>SUM(C99:C103)</f>
        <v>0</v>
      </c>
      <c r="D104" s="392">
        <f>SUM(D99:D103)</f>
        <v>0</v>
      </c>
      <c r="E104" s="392">
        <f>'Sources and Uses Budget'!S104</f>
        <v>9221718</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79958261</v>
      </c>
      <c r="C105" s="398">
        <f>SUM(C97+C104)</f>
        <v>0</v>
      </c>
      <c r="D105" s="398">
        <f>SUM(D97+D104)</f>
        <v>0</v>
      </c>
      <c r="E105" s="392">
        <f>'Sources and Uses Budget'!S105</f>
        <v>70699840</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70699840</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883"/>
      <c r="E124" s="1344"/>
      <c r="F124" s="1344"/>
      <c r="G124" s="1344"/>
      <c r="H124" s="1344"/>
      <c r="I124" s="1344"/>
      <c r="J124" s="407"/>
      <c r="K124" s="390"/>
    </row>
    <row r="125" spans="1:11" s="391" customFormat="1" ht="13.2">
      <c r="A125" s="416"/>
      <c r="B125" s="415"/>
      <c r="C125" s="416"/>
      <c r="D125" s="1344"/>
      <c r="E125" s="1344"/>
      <c r="F125" s="1344"/>
      <c r="G125" s="1344"/>
      <c r="H125" s="1344"/>
      <c r="I125" s="1344"/>
      <c r="J125" s="407"/>
      <c r="K125" s="390"/>
    </row>
    <row r="126" spans="1:11" s="391" customFormat="1" ht="13.2">
      <c r="A126" s="416"/>
      <c r="B126" s="415"/>
      <c r="C126" s="416"/>
      <c r="D126" s="1344"/>
      <c r="E126" s="1344"/>
      <c r="F126" s="1344"/>
      <c r="G126" s="1344"/>
      <c r="H126" s="1344"/>
      <c r="I126" s="1344"/>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884"/>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79" workbookViewId="0">
      <selection activeCell="T217" sqref="T217:Y217"/>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8"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116" t="s">
        <v>1411</v>
      </c>
      <c r="B1" s="2116"/>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row>
    <row r="2" spans="1:42" s="570" customFormat="1" ht="12.75" customHeight="1" thickBot="1">
      <c r="A2" s="2117"/>
      <c r="B2" s="2117"/>
      <c r="C2" s="2117"/>
      <c r="D2" s="2117"/>
      <c r="E2" s="2117"/>
      <c r="F2" s="2117"/>
      <c r="G2" s="2117"/>
      <c r="H2" s="2117"/>
      <c r="I2" s="2117"/>
      <c r="J2" s="2117"/>
      <c r="K2" s="2117"/>
      <c r="L2" s="2117"/>
      <c r="M2" s="2117"/>
      <c r="N2" s="2117"/>
      <c r="O2" s="2117"/>
      <c r="P2" s="2117"/>
      <c r="Q2" s="2117"/>
      <c r="R2" s="2117"/>
      <c r="S2" s="2117"/>
      <c r="T2" s="2117"/>
      <c r="U2" s="2117"/>
      <c r="V2" s="2117"/>
      <c r="W2" s="2117"/>
      <c r="X2" s="2117"/>
      <c r="Y2" s="2117"/>
      <c r="Z2" s="2117"/>
      <c r="AA2" s="2117"/>
      <c r="AB2" s="2117"/>
      <c r="AC2" s="2117"/>
      <c r="AD2" s="2117"/>
      <c r="AE2" s="2117"/>
      <c r="AF2" s="2117"/>
      <c r="AG2" s="2117"/>
      <c r="AH2" s="2117"/>
      <c r="AI2" s="2117"/>
      <c r="AJ2" s="2117"/>
      <c r="AK2" s="2117"/>
      <c r="AL2" s="2117"/>
      <c r="AM2" s="211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8" t="s">
        <v>1416</v>
      </c>
      <c r="AF7" s="1928"/>
      <c r="AG7" s="1928"/>
      <c r="AH7" s="1928"/>
      <c r="AI7" s="1928"/>
      <c r="AJ7" s="1928"/>
      <c r="AK7" s="1928"/>
      <c r="AL7" s="574"/>
      <c r="AM7" s="574"/>
      <c r="AN7" s="569"/>
    </row>
    <row r="8" spans="1:42" s="570" customFormat="1" ht="12.75"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0" t="s">
        <v>599</v>
      </c>
      <c r="C13" s="2110"/>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8"/>
      <c r="AH13" s="2118"/>
      <c r="AI13" s="2118"/>
      <c r="AJ13" s="211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0" t="s">
        <v>599</v>
      </c>
      <c r="C16" s="2110"/>
      <c r="D16" s="581"/>
      <c r="E16" s="2102" t="s">
        <v>1418</v>
      </c>
      <c r="F16" s="2103"/>
      <c r="G16" s="2103"/>
      <c r="H16" s="2103"/>
      <c r="I16" s="2103"/>
      <c r="J16" s="2103"/>
      <c r="K16" s="2103"/>
      <c r="L16" s="2103"/>
      <c r="M16" s="2103"/>
      <c r="N16" s="2103"/>
      <c r="O16" s="2103"/>
      <c r="P16" s="2103"/>
      <c r="Q16" s="2103"/>
      <c r="R16" s="2103"/>
      <c r="S16" s="2103"/>
      <c r="T16" s="2103"/>
      <c r="U16" s="2103"/>
      <c r="V16" s="2103"/>
      <c r="W16" s="2103"/>
      <c r="X16" s="2103"/>
      <c r="Y16" s="2103"/>
      <c r="Z16" s="2103"/>
      <c r="AA16" s="2103"/>
      <c r="AB16" s="2103"/>
      <c r="AC16" s="2103"/>
      <c r="AD16" s="2103"/>
      <c r="AE16" s="2103"/>
      <c r="AF16" s="2103"/>
      <c r="AG16" s="2103"/>
      <c r="AH16" s="2103"/>
      <c r="AI16" s="2103"/>
      <c r="AJ16" s="2104"/>
      <c r="AK16" s="574"/>
      <c r="AL16" s="574"/>
      <c r="AM16" s="574"/>
      <c r="AN16" s="569"/>
      <c r="AO16" s="584">
        <f>IF($B25="yes",20,0)</f>
        <v>0</v>
      </c>
      <c r="AP16" s="14"/>
    </row>
    <row r="17" spans="1:42" s="570" customFormat="1" ht="12.75" customHeight="1">
      <c r="A17" s="574"/>
      <c r="B17" s="574"/>
      <c r="C17" s="574"/>
      <c r="D17" s="585"/>
      <c r="E17" s="2105"/>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7"/>
      <c r="AK17" s="574"/>
      <c r="AL17" s="574"/>
      <c r="AM17" s="574"/>
      <c r="AN17" s="569"/>
      <c r="AO17" s="570">
        <f>IF(SUM(AO13:AO16)&gt;20,20,(SUM(AO13:AO16)))</f>
        <v>0</v>
      </c>
      <c r="AP17" s="570" t="s">
        <v>1419</v>
      </c>
    </row>
    <row r="18" spans="1:42" s="570" customFormat="1" ht="12.75" customHeight="1">
      <c r="A18" s="574"/>
      <c r="B18" s="574"/>
      <c r="C18" s="574"/>
      <c r="D18" s="585"/>
      <c r="E18" s="2105"/>
      <c r="F18" s="2106"/>
      <c r="G18" s="2106"/>
      <c r="H18" s="2106"/>
      <c r="I18" s="2106"/>
      <c r="J18" s="2106"/>
      <c r="K18" s="2106"/>
      <c r="L18" s="2106"/>
      <c r="M18" s="2106"/>
      <c r="N18" s="2106"/>
      <c r="O18" s="2106"/>
      <c r="P18" s="2106"/>
      <c r="Q18" s="2106"/>
      <c r="R18" s="2106"/>
      <c r="S18" s="2106"/>
      <c r="T18" s="2106"/>
      <c r="U18" s="2106"/>
      <c r="V18" s="2106"/>
      <c r="W18" s="2106"/>
      <c r="X18" s="2106"/>
      <c r="Y18" s="2106"/>
      <c r="Z18" s="2106"/>
      <c r="AA18" s="2106"/>
      <c r="AB18" s="2106"/>
      <c r="AC18" s="2106"/>
      <c r="AD18" s="2106"/>
      <c r="AE18" s="2106"/>
      <c r="AF18" s="2106"/>
      <c r="AG18" s="2106"/>
      <c r="AH18" s="2106"/>
      <c r="AI18" s="2106"/>
      <c r="AJ18" s="2107"/>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6"/>
      <c r="F20" s="2127"/>
      <c r="G20" s="2127"/>
      <c r="H20" s="2127"/>
      <c r="I20" s="2127"/>
      <c r="J20" s="2127"/>
      <c r="K20" s="2127"/>
      <c r="L20" s="2127"/>
      <c r="M20" s="2127"/>
      <c r="N20" s="2127"/>
      <c r="O20" s="2127"/>
      <c r="P20" s="2127"/>
      <c r="Q20" s="2127"/>
      <c r="R20" s="2127"/>
      <c r="S20" s="2127"/>
      <c r="T20" s="2127"/>
      <c r="U20" s="2127"/>
      <c r="V20" s="2127"/>
      <c r="W20" s="2127"/>
      <c r="X20" s="2127"/>
      <c r="Y20" s="2127"/>
      <c r="Z20" s="2127"/>
      <c r="AA20" s="2127"/>
      <c r="AB20" s="2127"/>
      <c r="AC20" s="2127"/>
      <c r="AD20" s="2127"/>
      <c r="AE20" s="2127"/>
      <c r="AF20" s="2127"/>
      <c r="AG20" s="2127"/>
      <c r="AH20" s="2127"/>
      <c r="AI20" s="2127"/>
      <c r="AJ20" s="2128"/>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0" t="s">
        <v>599</v>
      </c>
      <c r="C22" s="2110"/>
      <c r="D22" s="581"/>
      <c r="E22" s="2120" t="s">
        <v>1421</v>
      </c>
      <c r="F22" s="2121"/>
      <c r="G22" s="2121"/>
      <c r="H22" s="2121"/>
      <c r="I22" s="2121"/>
      <c r="J22" s="2121"/>
      <c r="K22" s="2121"/>
      <c r="L22" s="2121"/>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2"/>
      <c r="AK22" s="574"/>
      <c r="AL22" s="574"/>
      <c r="AM22" s="574"/>
      <c r="AN22" s="569"/>
      <c r="AO22" s="570">
        <f>IF(SUM(AO20:AO21)&gt;14,14,SUM(AO20:AO21))</f>
        <v>0</v>
      </c>
      <c r="AP22" s="570" t="s">
        <v>1419</v>
      </c>
    </row>
    <row r="23" spans="1:42" s="570" customFormat="1" ht="12.75" customHeight="1">
      <c r="A23" s="574"/>
      <c r="B23" s="574"/>
      <c r="C23" s="574"/>
      <c r="D23" s="584"/>
      <c r="E23" s="2123"/>
      <c r="F23" s="2124"/>
      <c r="G23" s="2124"/>
      <c r="H23" s="2124"/>
      <c r="I23" s="2124"/>
      <c r="J23" s="2124"/>
      <c r="K23" s="2124"/>
      <c r="L23" s="2124"/>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0" t="s">
        <v>599</v>
      </c>
      <c r="C25" s="2110"/>
      <c r="D25" s="581"/>
      <c r="E25" s="2038" t="s">
        <v>2345</v>
      </c>
      <c r="F25" s="2039"/>
      <c r="G25" s="2039"/>
      <c r="H25" s="2039"/>
      <c r="I25" s="2039"/>
      <c r="J25" s="2039"/>
      <c r="K25" s="2039"/>
      <c r="L25" s="2039"/>
      <c r="M25" s="2039"/>
      <c r="N25" s="2039"/>
      <c r="O25" s="2039"/>
      <c r="P25" s="2039"/>
      <c r="Q25" s="2039"/>
      <c r="R25" s="2039"/>
      <c r="S25" s="2039"/>
      <c r="T25" s="2039"/>
      <c r="U25" s="2039"/>
      <c r="V25" s="2039"/>
      <c r="W25" s="2039"/>
      <c r="X25" s="2039"/>
      <c r="Y25" s="2039"/>
      <c r="Z25" s="2039"/>
      <c r="AA25" s="2039"/>
      <c r="AB25" s="2039"/>
      <c r="AC25" s="2039"/>
      <c r="AD25" s="2039"/>
      <c r="AE25" s="2039"/>
      <c r="AF25" s="2039"/>
      <c r="AG25" s="2039"/>
      <c r="AH25" s="2039"/>
      <c r="AI25" s="2039"/>
      <c r="AJ25" s="2040"/>
      <c r="AK25" s="574"/>
      <c r="AL25" s="574"/>
      <c r="AM25" s="574"/>
      <c r="AN25" s="569"/>
      <c r="AO25" s="570">
        <f>IF(AO24&gt;6,6,AO24)</f>
        <v>0</v>
      </c>
      <c r="AP25" s="570" t="s">
        <v>1419</v>
      </c>
    </row>
    <row r="26" spans="1:42" s="570" customFormat="1" ht="12.75" customHeight="1">
      <c r="A26" s="574"/>
      <c r="B26" s="574"/>
      <c r="C26" s="574"/>
      <c r="D26" s="584"/>
      <c r="E26" s="2063"/>
      <c r="F26" s="2064"/>
      <c r="G26" s="2064"/>
      <c r="H26" s="2064"/>
      <c r="I26" s="2064"/>
      <c r="J26" s="2064"/>
      <c r="K26" s="2064"/>
      <c r="L26" s="2064"/>
      <c r="M26" s="2064"/>
      <c r="N26" s="2064"/>
      <c r="O26" s="2064"/>
      <c r="P26" s="2064"/>
      <c r="Q26" s="2064"/>
      <c r="R26" s="2064"/>
      <c r="S26" s="2064"/>
      <c r="T26" s="2064"/>
      <c r="U26" s="2064"/>
      <c r="V26" s="2064"/>
      <c r="W26" s="2064"/>
      <c r="X26" s="2064"/>
      <c r="Y26" s="2064"/>
      <c r="Z26" s="2064"/>
      <c r="AA26" s="2064"/>
      <c r="AB26" s="2064"/>
      <c r="AC26" s="2064"/>
      <c r="AD26" s="2064"/>
      <c r="AE26" s="2064"/>
      <c r="AF26" s="2064"/>
      <c r="AG26" s="2064"/>
      <c r="AH26" s="2064"/>
      <c r="AI26" s="2064"/>
      <c r="AJ26" s="206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10" t="s">
        <v>599</v>
      </c>
      <c r="C30" s="2110"/>
      <c r="D30" s="581"/>
      <c r="E30" s="2120" t="s">
        <v>2317</v>
      </c>
      <c r="F30" s="2121"/>
      <c r="G30" s="2121"/>
      <c r="H30" s="2121"/>
      <c r="I30" s="2121"/>
      <c r="J30" s="2121"/>
      <c r="K30" s="2121"/>
      <c r="L30" s="2121"/>
      <c r="M30" s="2121"/>
      <c r="N30" s="2121"/>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2"/>
      <c r="AK30" s="574"/>
      <c r="AL30" s="574"/>
      <c r="AM30" s="574"/>
      <c r="AN30" s="569"/>
      <c r="AO30" s="584"/>
    </row>
    <row r="31" spans="1:42" s="570" customFormat="1" ht="12.75" customHeight="1">
      <c r="A31" s="574"/>
      <c r="B31" s="574"/>
      <c r="C31" s="574"/>
      <c r="E31" s="2123"/>
      <c r="F31" s="2124"/>
      <c r="G31" s="2124"/>
      <c r="H31" s="2124"/>
      <c r="I31" s="2124"/>
      <c r="J31" s="2124"/>
      <c r="K31" s="2124"/>
      <c r="L31" s="2124"/>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0" t="s">
        <v>599</v>
      </c>
      <c r="C33" s="2110"/>
      <c r="D33" s="581"/>
      <c r="E33" s="2038" t="s">
        <v>2318</v>
      </c>
      <c r="F33" s="2039"/>
      <c r="G33" s="2039"/>
      <c r="H33" s="2039"/>
      <c r="I33" s="2039"/>
      <c r="J33" s="2039"/>
      <c r="K33" s="2039"/>
      <c r="L33" s="2039"/>
      <c r="M33" s="2039"/>
      <c r="N33" s="2039"/>
      <c r="O33" s="2039"/>
      <c r="P33" s="2039"/>
      <c r="Q33" s="2039"/>
      <c r="R33" s="2039"/>
      <c r="S33" s="2039"/>
      <c r="T33" s="2039"/>
      <c r="U33" s="2039"/>
      <c r="V33" s="2039"/>
      <c r="W33" s="2039"/>
      <c r="X33" s="2039"/>
      <c r="Y33" s="2039"/>
      <c r="Z33" s="2039"/>
      <c r="AA33" s="2039"/>
      <c r="AB33" s="2039"/>
      <c r="AC33" s="2039"/>
      <c r="AD33" s="2039"/>
      <c r="AE33" s="2039"/>
      <c r="AF33" s="2039"/>
      <c r="AG33" s="2039"/>
      <c r="AH33" s="2039"/>
      <c r="AI33" s="2039"/>
      <c r="AJ33" s="2040"/>
      <c r="AK33" s="574"/>
      <c r="AL33" s="574"/>
      <c r="AM33" s="574"/>
      <c r="AN33" s="569"/>
    </row>
    <row r="34" spans="1:41" s="570" customFormat="1" ht="12.75" customHeight="1">
      <c r="A34" s="574"/>
      <c r="B34" s="574"/>
      <c r="C34" s="574"/>
      <c r="E34" s="2041"/>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3"/>
      <c r="AK34" s="574"/>
      <c r="AL34" s="574"/>
      <c r="AM34" s="574"/>
      <c r="AN34" s="569"/>
    </row>
    <row r="35" spans="1:41" s="570" customFormat="1" ht="12.75" customHeight="1">
      <c r="A35" s="574"/>
      <c r="B35" s="574"/>
      <c r="C35" s="574"/>
      <c r="E35" s="2063"/>
      <c r="F35" s="2064"/>
      <c r="G35" s="2064"/>
      <c r="H35" s="2064"/>
      <c r="I35" s="2064"/>
      <c r="J35" s="2064"/>
      <c r="K35" s="2064"/>
      <c r="L35" s="2064"/>
      <c r="M35" s="2064"/>
      <c r="N35" s="2064"/>
      <c r="O35" s="2064"/>
      <c r="P35" s="2064"/>
      <c r="Q35" s="2064"/>
      <c r="R35" s="2064"/>
      <c r="S35" s="2064"/>
      <c r="T35" s="2064"/>
      <c r="U35" s="2064"/>
      <c r="V35" s="2064"/>
      <c r="W35" s="2064"/>
      <c r="X35" s="2064"/>
      <c r="Y35" s="2064"/>
      <c r="Z35" s="2064"/>
      <c r="AA35" s="2064"/>
      <c r="AB35" s="2064"/>
      <c r="AC35" s="2064"/>
      <c r="AD35" s="2064"/>
      <c r="AE35" s="2064"/>
      <c r="AF35" s="2064"/>
      <c r="AG35" s="2064"/>
      <c r="AH35" s="2064"/>
      <c r="AI35" s="2064"/>
      <c r="AJ35" s="206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0" t="s">
        <v>599</v>
      </c>
      <c r="C39" s="2110"/>
      <c r="D39" s="1186"/>
      <c r="E39" s="2038" t="s">
        <v>2319</v>
      </c>
      <c r="F39" s="2039"/>
      <c r="G39" s="2039"/>
      <c r="H39" s="2039"/>
      <c r="I39" s="2039"/>
      <c r="J39" s="2039"/>
      <c r="K39" s="2039"/>
      <c r="L39" s="2039"/>
      <c r="M39" s="2039"/>
      <c r="N39" s="2039"/>
      <c r="O39" s="2039"/>
      <c r="P39" s="2039"/>
      <c r="Q39" s="2039"/>
      <c r="R39" s="2039"/>
      <c r="S39" s="2039"/>
      <c r="T39" s="2039"/>
      <c r="U39" s="2039"/>
      <c r="V39" s="2039"/>
      <c r="W39" s="2039"/>
      <c r="X39" s="2039"/>
      <c r="Y39" s="2039"/>
      <c r="Z39" s="2039"/>
      <c r="AA39" s="2039"/>
      <c r="AB39" s="2039"/>
      <c r="AC39" s="2039"/>
      <c r="AD39" s="2039"/>
      <c r="AE39" s="2039"/>
      <c r="AF39" s="2039"/>
      <c r="AG39" s="2039"/>
      <c r="AH39" s="2039"/>
      <c r="AI39" s="2039"/>
      <c r="AJ39" s="2040"/>
      <c r="AK39" s="1186"/>
      <c r="AL39" s="574"/>
      <c r="AM39" s="574"/>
      <c r="AN39" s="569"/>
    </row>
    <row r="40" spans="1:41" s="570" customFormat="1" ht="12.75" customHeight="1">
      <c r="A40" s="574"/>
      <c r="B40" s="574"/>
      <c r="C40" s="574"/>
      <c r="E40" s="2041"/>
      <c r="F40" s="2042"/>
      <c r="G40" s="2042"/>
      <c r="H40" s="2042"/>
      <c r="I40" s="2042"/>
      <c r="J40" s="2042"/>
      <c r="K40" s="2042"/>
      <c r="L40" s="2042"/>
      <c r="M40" s="2042"/>
      <c r="N40" s="2042"/>
      <c r="O40" s="2042"/>
      <c r="P40" s="2042"/>
      <c r="Q40" s="2042"/>
      <c r="R40" s="2042"/>
      <c r="S40" s="2042"/>
      <c r="T40" s="2042"/>
      <c r="U40" s="2042"/>
      <c r="V40" s="2042"/>
      <c r="W40" s="2042"/>
      <c r="X40" s="2042"/>
      <c r="Y40" s="2042"/>
      <c r="Z40" s="2042"/>
      <c r="AA40" s="2042"/>
      <c r="AB40" s="2042"/>
      <c r="AC40" s="2042"/>
      <c r="AD40" s="2042"/>
      <c r="AE40" s="2042"/>
      <c r="AF40" s="2042"/>
      <c r="AG40" s="2042"/>
      <c r="AH40" s="2042"/>
      <c r="AI40" s="2042"/>
      <c r="AJ40" s="2043"/>
      <c r="AK40" s="574"/>
      <c r="AL40" s="574"/>
      <c r="AM40" s="574"/>
      <c r="AN40" s="569"/>
    </row>
    <row r="41" spans="1:41" s="570" customFormat="1" ht="12.75" customHeight="1">
      <c r="A41" s="574"/>
      <c r="D41" s="581"/>
      <c r="E41" s="2063"/>
      <c r="F41" s="2064"/>
      <c r="G41" s="2064"/>
      <c r="H41" s="2064"/>
      <c r="I41" s="2064"/>
      <c r="J41" s="2064"/>
      <c r="K41" s="2064"/>
      <c r="L41" s="2064"/>
      <c r="M41" s="2064"/>
      <c r="N41" s="2064"/>
      <c r="O41" s="2064"/>
      <c r="P41" s="2064"/>
      <c r="Q41" s="2064"/>
      <c r="R41" s="2064"/>
      <c r="S41" s="2064"/>
      <c r="T41" s="2064"/>
      <c r="U41" s="2064"/>
      <c r="V41" s="2064"/>
      <c r="W41" s="2064"/>
      <c r="X41" s="2064"/>
      <c r="Y41" s="2064"/>
      <c r="Z41" s="2064"/>
      <c r="AA41" s="2064"/>
      <c r="AB41" s="2064"/>
      <c r="AC41" s="2064"/>
      <c r="AD41" s="2064"/>
      <c r="AE41" s="2064"/>
      <c r="AF41" s="2064"/>
      <c r="AG41" s="2064"/>
      <c r="AH41" s="2064"/>
      <c r="AI41" s="2064"/>
      <c r="AJ41" s="206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0" t="s">
        <v>599</v>
      </c>
      <c r="C46" s="2110"/>
      <c r="D46" s="574"/>
      <c r="E46" s="2038" t="s">
        <v>2324</v>
      </c>
      <c r="F46" s="2039"/>
      <c r="G46" s="2039"/>
      <c r="H46" s="2039"/>
      <c r="I46" s="2039"/>
      <c r="J46" s="2039"/>
      <c r="K46" s="2039"/>
      <c r="L46" s="2039"/>
      <c r="M46" s="2039"/>
      <c r="N46" s="2039"/>
      <c r="O46" s="2039"/>
      <c r="P46" s="2039"/>
      <c r="Q46" s="2039"/>
      <c r="R46" s="2039"/>
      <c r="S46" s="2039"/>
      <c r="T46" s="2039"/>
      <c r="U46" s="2039"/>
      <c r="V46" s="2039"/>
      <c r="W46" s="2039"/>
      <c r="X46" s="2039"/>
      <c r="Y46" s="2039"/>
      <c r="Z46" s="2039"/>
      <c r="AA46" s="2039"/>
      <c r="AB46" s="2039"/>
      <c r="AC46" s="2039"/>
      <c r="AD46" s="2039"/>
      <c r="AE46" s="2039"/>
      <c r="AF46" s="2039"/>
      <c r="AG46" s="2039"/>
      <c r="AH46" s="2039"/>
      <c r="AI46" s="2039"/>
      <c r="AJ46" s="2040"/>
      <c r="AK46" s="574"/>
      <c r="AL46" s="574"/>
      <c r="AM46" s="574"/>
      <c r="AN46" s="569"/>
      <c r="AO46" s="593"/>
    </row>
    <row r="47" spans="1:41" s="570" customFormat="1" ht="12.75" customHeight="1">
      <c r="A47" s="574"/>
      <c r="D47" s="581"/>
      <c r="E47" s="2041"/>
      <c r="F47" s="2042"/>
      <c r="G47" s="2042"/>
      <c r="H47" s="2042"/>
      <c r="I47" s="2042"/>
      <c r="J47" s="2042"/>
      <c r="K47" s="2042"/>
      <c r="L47" s="2042"/>
      <c r="M47" s="2042"/>
      <c r="N47" s="2042"/>
      <c r="O47" s="2042"/>
      <c r="P47" s="2042"/>
      <c r="Q47" s="2042"/>
      <c r="R47" s="2042"/>
      <c r="S47" s="2042"/>
      <c r="T47" s="2042"/>
      <c r="U47" s="2042"/>
      <c r="V47" s="2042"/>
      <c r="W47" s="2042"/>
      <c r="X47" s="2042"/>
      <c r="Y47" s="2042"/>
      <c r="Z47" s="2042"/>
      <c r="AA47" s="2042"/>
      <c r="AB47" s="2042"/>
      <c r="AC47" s="2042"/>
      <c r="AD47" s="2042"/>
      <c r="AE47" s="2042"/>
      <c r="AF47" s="2042"/>
      <c r="AG47" s="2042"/>
      <c r="AH47" s="2042"/>
      <c r="AI47" s="2042"/>
      <c r="AJ47" s="2043"/>
      <c r="AK47" s="574"/>
      <c r="AL47" s="574"/>
      <c r="AM47" s="574"/>
      <c r="AN47" s="569"/>
      <c r="AO47" s="593"/>
    </row>
    <row r="48" spans="1:41" s="570" customFormat="1" ht="12.75" customHeight="1">
      <c r="A48" s="574"/>
      <c r="D48" s="574"/>
      <c r="E48" s="2063"/>
      <c r="F48" s="2064"/>
      <c r="G48" s="2064"/>
      <c r="H48" s="2064"/>
      <c r="I48" s="2064"/>
      <c r="J48" s="2064"/>
      <c r="K48" s="2064"/>
      <c r="L48" s="2064"/>
      <c r="M48" s="2064"/>
      <c r="N48" s="2064"/>
      <c r="O48" s="2064"/>
      <c r="P48" s="2064"/>
      <c r="Q48" s="2064"/>
      <c r="R48" s="2064"/>
      <c r="S48" s="2064"/>
      <c r="T48" s="2064"/>
      <c r="U48" s="2064"/>
      <c r="V48" s="2064"/>
      <c r="W48" s="2064"/>
      <c r="X48" s="2064"/>
      <c r="Y48" s="2064"/>
      <c r="Z48" s="2064"/>
      <c r="AA48" s="2064"/>
      <c r="AB48" s="2064"/>
      <c r="AC48" s="2064"/>
      <c r="AD48" s="2064"/>
      <c r="AE48" s="2064"/>
      <c r="AF48" s="2064"/>
      <c r="AG48" s="2064"/>
      <c r="AH48" s="2064"/>
      <c r="AI48" s="2064"/>
      <c r="AJ48" s="206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0" t="s">
        <v>599</v>
      </c>
      <c r="C50" s="2110"/>
      <c r="D50" s="574"/>
      <c r="E50" s="2136" t="s">
        <v>2325</v>
      </c>
      <c r="F50" s="2137"/>
      <c r="G50" s="2137"/>
      <c r="H50" s="2137"/>
      <c r="I50" s="2137"/>
      <c r="J50" s="2137"/>
      <c r="K50" s="2137"/>
      <c r="L50" s="2137"/>
      <c r="M50" s="2137"/>
      <c r="N50" s="2137"/>
      <c r="O50" s="2137"/>
      <c r="P50" s="2137"/>
      <c r="Q50" s="2137"/>
      <c r="R50" s="2137"/>
      <c r="S50" s="2137"/>
      <c r="T50" s="2137"/>
      <c r="U50" s="2137"/>
      <c r="V50" s="2137"/>
      <c r="W50" s="2137"/>
      <c r="X50" s="2137"/>
      <c r="Y50" s="2137"/>
      <c r="Z50" s="2137"/>
      <c r="AA50" s="2137"/>
      <c r="AB50" s="2137"/>
      <c r="AC50" s="2137"/>
      <c r="AD50" s="2137"/>
      <c r="AE50" s="2137"/>
      <c r="AF50" s="2137"/>
      <c r="AG50" s="2137"/>
      <c r="AH50" s="2137"/>
      <c r="AI50" s="2137"/>
      <c r="AJ50" s="2138"/>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0" t="s">
        <v>599</v>
      </c>
      <c r="C52" s="2110"/>
      <c r="D52" s="574"/>
      <c r="E52" s="2038" t="s">
        <v>2326</v>
      </c>
      <c r="F52" s="2039"/>
      <c r="G52" s="2039"/>
      <c r="H52" s="2039"/>
      <c r="I52" s="2039"/>
      <c r="J52" s="2039"/>
      <c r="K52" s="2039"/>
      <c r="L52" s="2039"/>
      <c r="M52" s="2039"/>
      <c r="N52" s="2039"/>
      <c r="O52" s="2039"/>
      <c r="P52" s="2039"/>
      <c r="Q52" s="2039"/>
      <c r="R52" s="2039"/>
      <c r="S52" s="2039"/>
      <c r="T52" s="2039"/>
      <c r="U52" s="2039"/>
      <c r="V52" s="2039"/>
      <c r="W52" s="2039"/>
      <c r="X52" s="2039"/>
      <c r="Y52" s="2039"/>
      <c r="Z52" s="2039"/>
      <c r="AA52" s="2039"/>
      <c r="AB52" s="2039"/>
      <c r="AC52" s="2039"/>
      <c r="AD52" s="2039"/>
      <c r="AE52" s="2039"/>
      <c r="AF52" s="2039"/>
      <c r="AG52" s="2039"/>
      <c r="AH52" s="2039"/>
      <c r="AI52" s="2039"/>
      <c r="AJ52" s="2040"/>
      <c r="AK52" s="574"/>
      <c r="AL52" s="574"/>
      <c r="AM52" s="574"/>
      <c r="AN52" s="569"/>
    </row>
    <row r="53" spans="1:50" s="570" customFormat="1" ht="12.75" customHeight="1">
      <c r="A53" s="574"/>
      <c r="B53" s="581"/>
      <c r="C53" s="581"/>
      <c r="D53" s="581"/>
      <c r="E53" s="2063"/>
      <c r="F53" s="2064"/>
      <c r="G53" s="2064"/>
      <c r="H53" s="2064"/>
      <c r="I53" s="2064"/>
      <c r="J53" s="2064"/>
      <c r="K53" s="2064"/>
      <c r="L53" s="2064"/>
      <c r="M53" s="2064"/>
      <c r="N53" s="2064"/>
      <c r="O53" s="2064"/>
      <c r="P53" s="2064"/>
      <c r="Q53" s="2064"/>
      <c r="R53" s="2064"/>
      <c r="S53" s="2064"/>
      <c r="T53" s="2064"/>
      <c r="U53" s="2064"/>
      <c r="V53" s="2064"/>
      <c r="W53" s="2064"/>
      <c r="X53" s="2064"/>
      <c r="Y53" s="2064"/>
      <c r="Z53" s="2064"/>
      <c r="AA53" s="2064"/>
      <c r="AB53" s="2064"/>
      <c r="AC53" s="2064"/>
      <c r="AD53" s="2064"/>
      <c r="AE53" s="2064"/>
      <c r="AF53" s="2064"/>
      <c r="AG53" s="2064"/>
      <c r="AH53" s="2064"/>
      <c r="AI53" s="2064"/>
      <c r="AJ53" s="206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84">
        <f>AO36</f>
        <v>0</v>
      </c>
      <c r="AL56" s="2085"/>
      <c r="AM56" s="208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8" t="s">
        <v>1425</v>
      </c>
      <c r="AF59" s="1928"/>
      <c r="AG59" s="1928"/>
      <c r="AH59" s="1928"/>
      <c r="AI59" s="1928"/>
      <c r="AJ59" s="1928"/>
      <c r="AK59" s="1928"/>
      <c r="AL59" s="574"/>
      <c r="AM59" s="574"/>
      <c r="AN59" s="569"/>
    </row>
    <row r="60" spans="1:50" s="570" customFormat="1" ht="12.75"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0" t="s">
        <v>599</v>
      </c>
      <c r="C62" s="2110"/>
      <c r="D62" s="581" t="s">
        <v>1426</v>
      </c>
      <c r="E62" s="2102" t="s">
        <v>2327</v>
      </c>
      <c r="F62" s="2103"/>
      <c r="G62" s="2103"/>
      <c r="H62" s="2103"/>
      <c r="I62" s="2103"/>
      <c r="J62" s="2103"/>
      <c r="K62" s="2103"/>
      <c r="L62" s="2103"/>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4"/>
      <c r="AK62" s="577"/>
      <c r="AL62" s="574"/>
      <c r="AM62" s="574"/>
      <c r="AN62" s="569"/>
      <c r="AO62" s="584">
        <f>IF($B62="yes",10,0)</f>
        <v>0</v>
      </c>
    </row>
    <row r="63" spans="1:50" s="570" customFormat="1" ht="12.75" customHeight="1">
      <c r="A63" s="572"/>
      <c r="B63" s="574"/>
      <c r="C63" s="574"/>
      <c r="D63" s="585"/>
      <c r="E63" s="2105"/>
      <c r="F63" s="2106"/>
      <c r="G63" s="2106"/>
      <c r="H63" s="2106"/>
      <c r="I63" s="2106"/>
      <c r="J63" s="2106"/>
      <c r="K63" s="2106"/>
      <c r="L63" s="210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7"/>
      <c r="AK63" s="577"/>
      <c r="AL63" s="574"/>
      <c r="AM63" s="574"/>
      <c r="AN63" s="569"/>
      <c r="AO63" s="584">
        <f>IF($B68="yes",10,0)</f>
        <v>10</v>
      </c>
    </row>
    <row r="64" spans="1:50" s="570" customFormat="1" ht="12.75" customHeight="1">
      <c r="A64" s="572"/>
      <c r="B64" s="574"/>
      <c r="C64" s="574"/>
      <c r="D64" s="585"/>
      <c r="E64" s="2105"/>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7"/>
      <c r="AK64" s="577"/>
      <c r="AL64" s="574"/>
      <c r="AM64" s="574"/>
      <c r="AN64" s="569"/>
      <c r="AO64" s="584">
        <f>IF($B75="yes",10,0)</f>
        <v>0</v>
      </c>
    </row>
    <row r="65" spans="1:42" s="570" customFormat="1" ht="12.75" customHeight="1">
      <c r="A65" s="572"/>
      <c r="B65" s="574"/>
      <c r="C65" s="574"/>
      <c r="D65" s="585"/>
      <c r="E65" s="2105"/>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7"/>
      <c r="AK65" s="577"/>
      <c r="AL65" s="574"/>
      <c r="AM65" s="574"/>
      <c r="AN65" s="569"/>
      <c r="AO65" s="570">
        <f>IF(SUM(AO62:AO64)&gt;10,10,(SUM(AO62:AO64)))</f>
        <v>10</v>
      </c>
      <c r="AP65" s="608" t="s">
        <v>1427</v>
      </c>
    </row>
    <row r="66" spans="1:42" s="570" customFormat="1" ht="12.75" customHeight="1">
      <c r="A66" s="572"/>
      <c r="B66" s="574"/>
      <c r="C66" s="574"/>
      <c r="D66" s="585"/>
      <c r="E66" s="2132"/>
      <c r="F66" s="2133"/>
      <c r="G66" s="2133"/>
      <c r="H66" s="2133"/>
      <c r="I66" s="2133"/>
      <c r="J66" s="2133"/>
      <c r="K66" s="2133"/>
      <c r="L66" s="2133"/>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4"/>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0" t="s">
        <v>553</v>
      </c>
      <c r="C68" s="2110"/>
      <c r="D68" s="581" t="s">
        <v>1428</v>
      </c>
      <c r="E68" s="1006" t="s">
        <v>1911</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5" t="s">
        <v>599</v>
      </c>
      <c r="F69" s="2110"/>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0" t="s">
        <v>553</v>
      </c>
      <c r="F70" s="2131"/>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0" t="s">
        <v>599</v>
      </c>
      <c r="F71" s="2131"/>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5" t="s">
        <v>599</v>
      </c>
      <c r="F73" s="2110"/>
      <c r="G73" s="941"/>
      <c r="H73" s="1011"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0" t="s">
        <v>599</v>
      </c>
      <c r="C75" s="2110"/>
      <c r="D75" s="581" t="s">
        <v>1431</v>
      </c>
      <c r="E75" s="2038" t="s">
        <v>1927</v>
      </c>
      <c r="F75" s="2039"/>
      <c r="G75" s="2039"/>
      <c r="H75" s="2039"/>
      <c r="I75" s="2039"/>
      <c r="J75" s="2039"/>
      <c r="K75" s="2039"/>
      <c r="L75" s="2039"/>
      <c r="M75" s="2039"/>
      <c r="N75" s="2039"/>
      <c r="O75" s="2039"/>
      <c r="P75" s="2039"/>
      <c r="Q75" s="2039"/>
      <c r="R75" s="2039"/>
      <c r="S75" s="2039"/>
      <c r="T75" s="2039"/>
      <c r="U75" s="2039"/>
      <c r="V75" s="2039"/>
      <c r="W75" s="2039"/>
      <c r="X75" s="2039"/>
      <c r="Y75" s="2039"/>
      <c r="Z75" s="2039"/>
      <c r="AA75" s="2039"/>
      <c r="AB75" s="2039"/>
      <c r="AC75" s="2039"/>
      <c r="AD75" s="2039"/>
      <c r="AE75" s="2039"/>
      <c r="AF75" s="2039"/>
      <c r="AG75" s="2039"/>
      <c r="AH75" s="2039"/>
      <c r="AI75" s="2039"/>
      <c r="AJ75" s="2040"/>
      <c r="AK75" s="577"/>
      <c r="AL75" s="574"/>
      <c r="AM75" s="574"/>
      <c r="AN75" s="569"/>
    </row>
    <row r="76" spans="1:42" s="570" customFormat="1" ht="12.75" customHeight="1">
      <c r="A76" s="572"/>
      <c r="B76" s="574"/>
      <c r="C76" s="574"/>
      <c r="D76" s="584"/>
      <c r="E76" s="2063"/>
      <c r="F76" s="2064"/>
      <c r="G76" s="2064"/>
      <c r="H76" s="2064"/>
      <c r="I76" s="2064"/>
      <c r="J76" s="2064"/>
      <c r="K76" s="2064"/>
      <c r="L76" s="2064"/>
      <c r="M76" s="2064"/>
      <c r="N76" s="2064"/>
      <c r="O76" s="2064"/>
      <c r="P76" s="2064"/>
      <c r="Q76" s="2064"/>
      <c r="R76" s="2064"/>
      <c r="S76" s="2064"/>
      <c r="T76" s="2064"/>
      <c r="U76" s="2064"/>
      <c r="V76" s="2064"/>
      <c r="W76" s="2064"/>
      <c r="X76" s="2064"/>
      <c r="Y76" s="2064"/>
      <c r="Z76" s="2064"/>
      <c r="AA76" s="2064"/>
      <c r="AB76" s="2064"/>
      <c r="AC76" s="2064"/>
      <c r="AD76" s="2064"/>
      <c r="AE76" s="2064"/>
      <c r="AF76" s="2064"/>
      <c r="AG76" s="2064"/>
      <c r="AH76" s="2064"/>
      <c r="AI76" s="2064"/>
      <c r="AJ76" s="206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84">
        <f>IF(AK56&gt;0,0,AO65)</f>
        <v>10</v>
      </c>
      <c r="AL78" s="2085"/>
      <c r="AM78" s="208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8" t="s">
        <v>1416</v>
      </c>
      <c r="AF81" s="1928"/>
      <c r="AG81" s="1928"/>
      <c r="AH81" s="1928"/>
      <c r="AI81" s="1928"/>
      <c r="AJ81" s="1928"/>
      <c r="AK81" s="1928"/>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0" t="s">
        <v>599</v>
      </c>
      <c r="C84" s="2110"/>
      <c r="D84" s="581" t="s">
        <v>1426</v>
      </c>
      <c r="E84" s="2102" t="s">
        <v>1436</v>
      </c>
      <c r="F84" s="2103"/>
      <c r="G84" s="2103"/>
      <c r="H84" s="2103"/>
      <c r="I84" s="2103"/>
      <c r="J84" s="2103"/>
      <c r="K84" s="2103"/>
      <c r="L84" s="2103"/>
      <c r="M84" s="2103"/>
      <c r="N84" s="2103"/>
      <c r="O84" s="2103"/>
      <c r="P84" s="2103"/>
      <c r="Q84" s="2103"/>
      <c r="R84" s="2103"/>
      <c r="S84" s="2103"/>
      <c r="T84" s="2103"/>
      <c r="U84" s="2103"/>
      <c r="V84" s="2103"/>
      <c r="W84" s="2103"/>
      <c r="X84" s="2103"/>
      <c r="Y84" s="2103"/>
      <c r="Z84" s="2103"/>
      <c r="AA84" s="2103"/>
      <c r="AB84" s="2103"/>
      <c r="AC84" s="2103"/>
      <c r="AD84" s="2103"/>
      <c r="AE84" s="2103"/>
      <c r="AF84" s="2103"/>
      <c r="AG84" s="2103"/>
      <c r="AH84" s="2103"/>
      <c r="AI84" s="2103"/>
      <c r="AJ84" s="2104"/>
      <c r="AK84" s="577"/>
      <c r="AL84" s="574"/>
      <c r="AM84" s="574"/>
      <c r="AN84" s="569"/>
    </row>
    <row r="85" spans="1:43" s="570" customFormat="1" ht="12.75" customHeight="1">
      <c r="A85" s="572"/>
      <c r="B85" s="573"/>
      <c r="C85" s="573"/>
      <c r="D85" s="573"/>
      <c r="E85" s="2105"/>
      <c r="F85" s="2106"/>
      <c r="G85" s="2106"/>
      <c r="H85" s="2106"/>
      <c r="I85" s="2106"/>
      <c r="J85" s="2106"/>
      <c r="K85" s="2106"/>
      <c r="L85" s="2106"/>
      <c r="M85" s="2106"/>
      <c r="N85" s="2106"/>
      <c r="O85" s="2106"/>
      <c r="P85" s="2106"/>
      <c r="Q85" s="2106"/>
      <c r="R85" s="2106"/>
      <c r="S85" s="2106"/>
      <c r="T85" s="2106"/>
      <c r="U85" s="2106"/>
      <c r="V85" s="2106"/>
      <c r="W85" s="2106"/>
      <c r="X85" s="2106"/>
      <c r="Y85" s="2106"/>
      <c r="Z85" s="2106"/>
      <c r="AA85" s="2106"/>
      <c r="AB85" s="2106"/>
      <c r="AC85" s="2106"/>
      <c r="AD85" s="2106"/>
      <c r="AE85" s="2106"/>
      <c r="AF85" s="2106"/>
      <c r="AG85" s="2106"/>
      <c r="AH85" s="2106"/>
      <c r="AI85" s="2106"/>
      <c r="AJ85" s="2107"/>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8">
        <f>Application!AC753</f>
        <v>0.59024390243902447</v>
      </c>
      <c r="F87" s="2099"/>
      <c r="G87" s="2099"/>
      <c r="H87" s="2099"/>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9">
        <f>0.6-ROUNDUP(E87,2)</f>
        <v>0</v>
      </c>
      <c r="F88" s="1902"/>
      <c r="G88" s="1902"/>
      <c r="H88" s="1902"/>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4">
        <f>IF(E88*200&gt;20,20,E88*200)</f>
        <v>0</v>
      </c>
      <c r="F89" s="2115"/>
      <c r="G89" s="2115"/>
      <c r="H89" s="2115"/>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0" t="s">
        <v>553</v>
      </c>
      <c r="C92" s="2110"/>
      <c r="D92" s="581" t="s">
        <v>1428</v>
      </c>
      <c r="E92" s="2102" t="s">
        <v>1912</v>
      </c>
      <c r="F92" s="2103"/>
      <c r="G92" s="2103"/>
      <c r="H92" s="2103"/>
      <c r="I92" s="2103"/>
      <c r="J92" s="2103"/>
      <c r="K92" s="2103"/>
      <c r="L92" s="2103"/>
      <c r="M92" s="2103"/>
      <c r="N92" s="2103"/>
      <c r="O92" s="2103"/>
      <c r="P92" s="2103"/>
      <c r="Q92" s="2103"/>
      <c r="R92" s="2103"/>
      <c r="S92" s="2103"/>
      <c r="T92" s="2103"/>
      <c r="U92" s="2103"/>
      <c r="V92" s="2103"/>
      <c r="W92" s="2103"/>
      <c r="X92" s="2103"/>
      <c r="Y92" s="2103"/>
      <c r="Z92" s="2103"/>
      <c r="AA92" s="2103"/>
      <c r="AB92" s="2103"/>
      <c r="AC92" s="2103"/>
      <c r="AD92" s="2103"/>
      <c r="AE92" s="2103"/>
      <c r="AF92" s="2103"/>
      <c r="AG92" s="2103"/>
      <c r="AH92" s="2103"/>
      <c r="AI92" s="2103"/>
      <c r="AJ92" s="2104"/>
      <c r="AK92" s="577"/>
      <c r="AL92" s="574"/>
      <c r="AM92" s="574"/>
      <c r="AN92" s="569"/>
    </row>
    <row r="93" spans="1:43" s="570" customFormat="1" ht="12.75" customHeight="1">
      <c r="A93" s="572"/>
      <c r="B93" s="573"/>
      <c r="C93" s="573"/>
      <c r="D93" s="573"/>
      <c r="E93" s="2105"/>
      <c r="F93" s="2106"/>
      <c r="G93" s="2106"/>
      <c r="H93" s="2106"/>
      <c r="I93" s="2106"/>
      <c r="J93" s="2106"/>
      <c r="K93" s="2106"/>
      <c r="L93" s="2106"/>
      <c r="M93" s="2106"/>
      <c r="N93" s="2106"/>
      <c r="O93" s="2106"/>
      <c r="P93" s="2106"/>
      <c r="Q93" s="2106"/>
      <c r="R93" s="2106"/>
      <c r="S93" s="2106"/>
      <c r="T93" s="2106"/>
      <c r="U93" s="2106"/>
      <c r="V93" s="2106"/>
      <c r="W93" s="2106"/>
      <c r="X93" s="2106"/>
      <c r="Y93" s="2106"/>
      <c r="Z93" s="2106"/>
      <c r="AA93" s="2106"/>
      <c r="AB93" s="2106"/>
      <c r="AC93" s="2106"/>
      <c r="AD93" s="2106"/>
      <c r="AE93" s="2106"/>
      <c r="AF93" s="2106"/>
      <c r="AG93" s="2106"/>
      <c r="AH93" s="2106"/>
      <c r="AI93" s="2106"/>
      <c r="AJ93" s="2107"/>
      <c r="AK93" s="577"/>
      <c r="AL93" s="574"/>
      <c r="AM93" s="574"/>
      <c r="AN93" s="569"/>
    </row>
    <row r="94" spans="1:43" s="570" customFormat="1" ht="12.75" customHeight="1">
      <c r="A94" s="572"/>
      <c r="B94" s="573"/>
      <c r="C94" s="573"/>
      <c r="D94" s="573"/>
      <c r="E94" s="2105"/>
      <c r="F94" s="2106"/>
      <c r="G94" s="2106"/>
      <c r="H94" s="2106"/>
      <c r="I94" s="2106"/>
      <c r="J94" s="2106"/>
      <c r="K94" s="2106"/>
      <c r="L94" s="2106"/>
      <c r="M94" s="2106"/>
      <c r="N94" s="2106"/>
      <c r="O94" s="2106"/>
      <c r="P94" s="2106"/>
      <c r="Q94" s="2106"/>
      <c r="R94" s="2106"/>
      <c r="S94" s="2106"/>
      <c r="T94" s="2106"/>
      <c r="U94" s="2106"/>
      <c r="V94" s="2106"/>
      <c r="W94" s="2106"/>
      <c r="X94" s="2106"/>
      <c r="Y94" s="2106"/>
      <c r="Z94" s="2106"/>
      <c r="AA94" s="2106"/>
      <c r="AB94" s="2106"/>
      <c r="AC94" s="2106"/>
      <c r="AD94" s="2106"/>
      <c r="AE94" s="2106"/>
      <c r="AF94" s="2106"/>
      <c r="AG94" s="2106"/>
      <c r="AH94" s="2106"/>
      <c r="AI94" s="2106"/>
      <c r="AJ94" s="2107"/>
      <c r="AK94" s="577"/>
      <c r="AL94" s="574"/>
      <c r="AM94" s="574"/>
      <c r="AN94" s="569"/>
    </row>
    <row r="95" spans="1:43" s="570" customFormat="1" ht="12.75" customHeight="1">
      <c r="A95" s="572"/>
      <c r="B95" s="573"/>
      <c r="C95" s="573"/>
      <c r="D95" s="573"/>
      <c r="E95" s="2105"/>
      <c r="F95" s="2106"/>
      <c r="G95" s="2106"/>
      <c r="H95" s="2106"/>
      <c r="I95" s="2106"/>
      <c r="J95" s="2106"/>
      <c r="K95" s="2106"/>
      <c r="L95" s="2106"/>
      <c r="M95" s="2106"/>
      <c r="N95" s="2106"/>
      <c r="O95" s="2106"/>
      <c r="P95" s="2106"/>
      <c r="Q95" s="2106"/>
      <c r="R95" s="2106"/>
      <c r="S95" s="2106"/>
      <c r="T95" s="2106"/>
      <c r="U95" s="2106"/>
      <c r="V95" s="2106"/>
      <c r="W95" s="2106"/>
      <c r="X95" s="2106"/>
      <c r="Y95" s="2106"/>
      <c r="Z95" s="2106"/>
      <c r="AA95" s="2106"/>
      <c r="AB95" s="2106"/>
      <c r="AC95" s="2106"/>
      <c r="AD95" s="2106"/>
      <c r="AE95" s="2106"/>
      <c r="AF95" s="2106"/>
      <c r="AG95" s="2106"/>
      <c r="AH95" s="2106"/>
      <c r="AI95" s="2106"/>
      <c r="AJ95" s="2107"/>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8">
        <f>Application!AC753</f>
        <v>0.59024390243902447</v>
      </c>
      <c r="F97" s="2099"/>
      <c r="G97" s="2099"/>
      <c r="H97" s="2099"/>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8">
        <f ca="1">SUMIF(Application!AC718:AG752,0.2,Application!G718:J752)/Application!G753+SUMIF(Application!AC718:AG752,0.25,Application!G718:J752)/Application!G753+SUMIF(Application!AC718:AG752,0.3,Application!G718:J752)/Application!G753</f>
        <v>0.10975609756097561</v>
      </c>
      <c r="F98" s="2099"/>
      <c r="G98" s="2099"/>
      <c r="H98" s="2099"/>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8">
        <f ca="1">SUMIF(Application!AC718:AG752,0.35,Application!G718:J752)/Application!G753+SUMIF(Application!AC718:AG752,0.4,Application!G718:J752)/Application!G753+SUMIF(Application!AC718:AG752,0.45,Application!G718:J752)/Application!G753+SUMIF(Application!AC718:AG752,0.5,Application!G718:J752)/Application!G753</f>
        <v>0.21951219512195122</v>
      </c>
      <c r="F99" s="2099"/>
      <c r="G99" s="2099"/>
      <c r="H99" s="2099"/>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6">
        <f ca="1">IF(AND(E97&lt;=0.6,E98&gt;=0.1,OR(E99&gt;=0.1,E98&gt;=0.2)),20,0)</f>
        <v>20</v>
      </c>
      <c r="F100" s="2097"/>
      <c r="G100" s="2097"/>
      <c r="H100" s="2097"/>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84">
        <f ca="1">MAX(AP89,AP100)</f>
        <v>20</v>
      </c>
      <c r="AL103" s="2085"/>
      <c r="AM103" s="208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8" t="s">
        <v>1425</v>
      </c>
      <c r="AF106" s="1928"/>
      <c r="AG106" s="1928"/>
      <c r="AH106" s="1928"/>
      <c r="AI106" s="1928"/>
      <c r="AJ106" s="1928"/>
      <c r="AK106" s="1928"/>
      <c r="AL106" s="574"/>
      <c r="AM106" s="574"/>
      <c r="AN106" s="569"/>
      <c r="AO106" s="570" t="str">
        <f>Application!B718</f>
        <v>1 Bedroom</v>
      </c>
      <c r="AQ106" s="570">
        <f>Application!O718</f>
        <v>678</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678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927</v>
      </c>
    </row>
    <row r="109" spans="1:49" s="570" customFormat="1" ht="12.75" customHeight="1">
      <c r="A109" s="574"/>
      <c r="B109" s="2110" t="s">
        <v>553</v>
      </c>
      <c r="C109" s="2110"/>
      <c r="D109" s="581" t="s">
        <v>1426</v>
      </c>
      <c r="E109" s="2102" t="s">
        <v>2046</v>
      </c>
      <c r="F109" s="2103"/>
      <c r="G109" s="2103"/>
      <c r="H109" s="2103"/>
      <c r="I109" s="2103"/>
      <c r="J109" s="2103"/>
      <c r="K109" s="2103"/>
      <c r="L109" s="2103"/>
      <c r="M109" s="2103"/>
      <c r="N109" s="2103"/>
      <c r="O109" s="2103"/>
      <c r="P109" s="2103"/>
      <c r="Q109" s="2103"/>
      <c r="R109" s="2103"/>
      <c r="S109" s="2103"/>
      <c r="T109" s="2103"/>
      <c r="U109" s="2103"/>
      <c r="V109" s="2103"/>
      <c r="W109" s="2103"/>
      <c r="X109" s="2103"/>
      <c r="Y109" s="2103"/>
      <c r="Z109" s="2103"/>
      <c r="AA109" s="2103"/>
      <c r="AB109" s="2103"/>
      <c r="AC109" s="2103"/>
      <c r="AD109" s="2103"/>
      <c r="AE109" s="2103"/>
      <c r="AF109" s="2103"/>
      <c r="AG109" s="2103"/>
      <c r="AH109" s="2103"/>
      <c r="AI109" s="2103"/>
      <c r="AJ109" s="2104"/>
      <c r="AK109" s="574"/>
      <c r="AL109" s="574"/>
      <c r="AM109" s="574"/>
      <c r="AN109" s="569"/>
      <c r="AO109" s="570" t="str">
        <f>Application!B721</f>
        <v>1 Bedroom</v>
      </c>
      <c r="AQ109" s="570">
        <f>Application!O721</f>
        <v>1176</v>
      </c>
      <c r="AU109" s="570" t="s">
        <v>2028</v>
      </c>
      <c r="AV109" s="629" t="s">
        <v>2029</v>
      </c>
      <c r="AW109" s="570" t="s">
        <v>2030</v>
      </c>
    </row>
    <row r="110" spans="1:49" s="570" customFormat="1" ht="12.75" customHeight="1">
      <c r="A110" s="574"/>
      <c r="B110" s="573"/>
      <c r="C110" s="573"/>
      <c r="D110" s="573"/>
      <c r="E110" s="2105"/>
      <c r="F110" s="2106"/>
      <c r="G110" s="2106"/>
      <c r="H110" s="2106"/>
      <c r="I110" s="2106"/>
      <c r="J110" s="2106"/>
      <c r="K110" s="2106"/>
      <c r="L110" s="2106"/>
      <c r="M110" s="2106"/>
      <c r="N110" s="2106"/>
      <c r="O110" s="2106"/>
      <c r="P110" s="2106"/>
      <c r="Q110" s="2106"/>
      <c r="R110" s="2106"/>
      <c r="S110" s="2106"/>
      <c r="T110" s="2106"/>
      <c r="U110" s="2106"/>
      <c r="V110" s="2106"/>
      <c r="W110" s="2106"/>
      <c r="X110" s="2106"/>
      <c r="Y110" s="2106"/>
      <c r="Z110" s="2106"/>
      <c r="AA110" s="2106"/>
      <c r="AB110" s="2106"/>
      <c r="AC110" s="2106"/>
      <c r="AD110" s="2106"/>
      <c r="AE110" s="2106"/>
      <c r="AF110" s="2106"/>
      <c r="AG110" s="2106"/>
      <c r="AH110" s="2106"/>
      <c r="AI110" s="2106"/>
      <c r="AJ110" s="2107"/>
      <c r="AK110" s="574"/>
      <c r="AL110" s="574"/>
      <c r="AM110" s="574"/>
      <c r="AN110" s="569"/>
      <c r="AO110" s="570" t="str">
        <f>Application!B722</f>
        <v>1 Bedroom</v>
      </c>
      <c r="AQ110" s="570">
        <f>Application!O722</f>
        <v>1425</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5"/>
      <c r="F111" s="2106"/>
      <c r="G111" s="2106"/>
      <c r="H111" s="2106"/>
      <c r="I111" s="2106"/>
      <c r="J111" s="2106"/>
      <c r="K111" s="2106"/>
      <c r="L111" s="2106"/>
      <c r="M111" s="2106"/>
      <c r="N111" s="2106"/>
      <c r="O111" s="2106"/>
      <c r="P111" s="2106"/>
      <c r="Q111" s="2106"/>
      <c r="R111" s="2106"/>
      <c r="S111" s="2106"/>
      <c r="T111" s="2106"/>
      <c r="U111" s="2106"/>
      <c r="V111" s="2106"/>
      <c r="W111" s="2106"/>
      <c r="X111" s="2106"/>
      <c r="Y111" s="2106"/>
      <c r="Z111" s="2106"/>
      <c r="AA111" s="2106"/>
      <c r="AB111" s="2106"/>
      <c r="AC111" s="2106"/>
      <c r="AD111" s="2106"/>
      <c r="AE111" s="2106"/>
      <c r="AF111" s="2106"/>
      <c r="AG111" s="2106"/>
      <c r="AH111" s="2106"/>
      <c r="AI111" s="2106"/>
      <c r="AJ111" s="2107"/>
      <c r="AK111" s="574"/>
      <c r="AL111" s="574"/>
      <c r="AM111" s="574"/>
      <c r="AN111" s="569"/>
      <c r="AO111" s="570" t="str">
        <f>Application!B723</f>
        <v>1 Bedroom</v>
      </c>
      <c r="AQ111" s="570">
        <f>Application!O723</f>
        <v>1674</v>
      </c>
      <c r="AU111" s="890" t="str">
        <f>J118</f>
        <v>1-bedroom</v>
      </c>
      <c r="AV111" s="570">
        <f t="array" ref="AV111">SUM(IF(Application!B718:F752="1 Bedroom",Application!G718:J752))</f>
        <v>60</v>
      </c>
      <c r="AW111" s="1046">
        <f>AV111/AV116</f>
        <v>0.36585365853658536</v>
      </c>
    </row>
    <row r="112" spans="1:49" s="570" customFormat="1" ht="12.75" customHeight="1">
      <c r="A112" s="574"/>
      <c r="B112" s="573"/>
      <c r="C112" s="573"/>
      <c r="D112" s="573"/>
      <c r="E112" s="2105"/>
      <c r="F112" s="2106"/>
      <c r="G112" s="2106"/>
      <c r="H112" s="2106"/>
      <c r="I112" s="2106"/>
      <c r="J112" s="2106"/>
      <c r="K112" s="2106"/>
      <c r="L112" s="2106"/>
      <c r="M112" s="2106"/>
      <c r="N112" s="2106"/>
      <c r="O112" s="2106"/>
      <c r="P112" s="2106"/>
      <c r="Q112" s="2106"/>
      <c r="R112" s="2106"/>
      <c r="S112" s="2106"/>
      <c r="T112" s="2106"/>
      <c r="U112" s="2106"/>
      <c r="V112" s="2106"/>
      <c r="W112" s="2106"/>
      <c r="X112" s="2106"/>
      <c r="Y112" s="2106"/>
      <c r="Z112" s="2106"/>
      <c r="AA112" s="2106"/>
      <c r="AB112" s="2106"/>
      <c r="AC112" s="2106"/>
      <c r="AD112" s="2106"/>
      <c r="AE112" s="2106"/>
      <c r="AF112" s="2106"/>
      <c r="AG112" s="2106"/>
      <c r="AH112" s="2106"/>
      <c r="AI112" s="2106"/>
      <c r="AJ112" s="2107"/>
      <c r="AK112" s="574"/>
      <c r="AL112" s="574"/>
      <c r="AM112" s="574"/>
      <c r="AN112" s="569"/>
      <c r="AO112" s="570" t="str">
        <f>Application!B724</f>
        <v>2 Bedrooms</v>
      </c>
      <c r="AQ112" s="570">
        <f>Application!O724</f>
        <v>801</v>
      </c>
      <c r="AU112" s="890" t="str">
        <f>O118</f>
        <v>2-bedroom</v>
      </c>
      <c r="AV112" s="570">
        <f t="array" ref="AV112">SUM(IF(Application!B718:F752="2 Bedrooms",Application!G718:J752))</f>
        <v>31</v>
      </c>
      <c r="AW112" s="1046">
        <f>AV112/AV116</f>
        <v>0.18902439024390244</v>
      </c>
    </row>
    <row r="113" spans="1:52" s="570" customFormat="1" ht="12.75" customHeight="1">
      <c r="A113" s="574"/>
      <c r="B113" s="573"/>
      <c r="C113" s="573"/>
      <c r="D113" s="573"/>
      <c r="E113" s="2105"/>
      <c r="F113" s="2106"/>
      <c r="G113" s="2106"/>
      <c r="H113" s="2106"/>
      <c r="I113" s="2106"/>
      <c r="J113" s="2106"/>
      <c r="K113" s="2106"/>
      <c r="L113" s="2106"/>
      <c r="M113" s="2106"/>
      <c r="N113" s="2106"/>
      <c r="O113" s="2106"/>
      <c r="P113" s="2106"/>
      <c r="Q113" s="2106"/>
      <c r="R113" s="2106"/>
      <c r="S113" s="2106"/>
      <c r="T113" s="2106"/>
      <c r="U113" s="2106"/>
      <c r="V113" s="2106"/>
      <c r="W113" s="2106"/>
      <c r="X113" s="2106"/>
      <c r="Y113" s="2106"/>
      <c r="Z113" s="2106"/>
      <c r="AA113" s="2106"/>
      <c r="AB113" s="2106"/>
      <c r="AC113" s="2106"/>
      <c r="AD113" s="2106"/>
      <c r="AE113" s="2106"/>
      <c r="AF113" s="2106"/>
      <c r="AG113" s="2106"/>
      <c r="AH113" s="2106"/>
      <c r="AI113" s="2106"/>
      <c r="AJ113" s="2107"/>
      <c r="AK113" s="574"/>
      <c r="AL113" s="574"/>
      <c r="AM113" s="574"/>
      <c r="AN113" s="569"/>
      <c r="AO113" s="570" t="str">
        <f>Application!B725</f>
        <v>2 Bedrooms</v>
      </c>
      <c r="AQ113" s="570">
        <f>Application!O725</f>
        <v>801</v>
      </c>
      <c r="AU113" s="890" t="str">
        <f>T118</f>
        <v>3-bedroom</v>
      </c>
      <c r="AV113" s="570">
        <f t="array" ref="AV113">SUM(IF(Application!B718:F752="3 Bedrooms",Application!G718:J752))</f>
        <v>55</v>
      </c>
      <c r="AW113" s="1046">
        <f>AV113/AV116</f>
        <v>0.33536585365853661</v>
      </c>
    </row>
    <row r="114" spans="1:52" s="570" customFormat="1" ht="12.75" customHeight="1">
      <c r="A114" s="574"/>
      <c r="B114" s="573"/>
      <c r="C114" s="573"/>
      <c r="D114" s="573"/>
      <c r="E114" s="2105"/>
      <c r="F114" s="2106"/>
      <c r="G114" s="2106"/>
      <c r="H114" s="2106"/>
      <c r="I114" s="2106"/>
      <c r="J114" s="2106"/>
      <c r="K114" s="2106"/>
      <c r="L114" s="2106"/>
      <c r="M114" s="2106"/>
      <c r="N114" s="2106"/>
      <c r="O114" s="2106"/>
      <c r="P114" s="2106"/>
      <c r="Q114" s="2106"/>
      <c r="R114" s="2106"/>
      <c r="S114" s="2106"/>
      <c r="T114" s="2106"/>
      <c r="U114" s="2106"/>
      <c r="V114" s="2106"/>
      <c r="W114" s="2106"/>
      <c r="X114" s="2106"/>
      <c r="Y114" s="2106"/>
      <c r="Z114" s="2106"/>
      <c r="AA114" s="2106"/>
      <c r="AB114" s="2106"/>
      <c r="AC114" s="2106"/>
      <c r="AD114" s="2106"/>
      <c r="AE114" s="2106"/>
      <c r="AF114" s="2106"/>
      <c r="AG114" s="2106"/>
      <c r="AH114" s="2106"/>
      <c r="AI114" s="2106"/>
      <c r="AJ114" s="2107"/>
      <c r="AK114" s="574"/>
      <c r="AL114" s="574"/>
      <c r="AM114" s="574"/>
      <c r="AN114" s="569"/>
      <c r="AO114" s="570" t="str">
        <f>Application!B726</f>
        <v>2 Bedrooms</v>
      </c>
      <c r="AQ114" s="570">
        <f>Application!O726</f>
        <v>1100</v>
      </c>
      <c r="AU114" s="890" t="str">
        <f>Y118</f>
        <v>4-bedroom</v>
      </c>
      <c r="AV114" s="570">
        <f t="array" ref="AV114">SUM(IF(Application!B718:F752="4 Bedrooms",Application!G718:J752))</f>
        <v>18</v>
      </c>
      <c r="AW114" s="1046">
        <f>AV114/AV116</f>
        <v>0.10975609756097561</v>
      </c>
    </row>
    <row r="115" spans="1:52" s="570" customFormat="1" ht="12.75" customHeight="1">
      <c r="A115" s="574"/>
      <c r="B115" s="573"/>
      <c r="C115" s="573"/>
      <c r="D115" s="573"/>
      <c r="E115" s="2105"/>
      <c r="F115" s="2106"/>
      <c r="G115" s="2106"/>
      <c r="H115" s="2106"/>
      <c r="I115" s="2106"/>
      <c r="J115" s="2106"/>
      <c r="K115" s="2106"/>
      <c r="L115" s="2106"/>
      <c r="M115" s="2106"/>
      <c r="N115" s="2106"/>
      <c r="O115" s="2106"/>
      <c r="P115" s="2106"/>
      <c r="Q115" s="2106"/>
      <c r="R115" s="2106"/>
      <c r="S115" s="2106"/>
      <c r="T115" s="2106"/>
      <c r="U115" s="2106"/>
      <c r="V115" s="2106"/>
      <c r="W115" s="2106"/>
      <c r="X115" s="2106"/>
      <c r="Y115" s="2106"/>
      <c r="Z115" s="2106"/>
      <c r="AA115" s="2106"/>
      <c r="AB115" s="2106"/>
      <c r="AC115" s="2106"/>
      <c r="AD115" s="2106"/>
      <c r="AE115" s="2106"/>
      <c r="AF115" s="2106"/>
      <c r="AG115" s="2106"/>
      <c r="AH115" s="2106"/>
      <c r="AI115" s="2106"/>
      <c r="AJ115" s="2107"/>
      <c r="AK115" s="574"/>
      <c r="AL115" s="574"/>
      <c r="AM115" s="574"/>
      <c r="AN115" s="569"/>
      <c r="AO115" s="570" t="str">
        <f>Application!B727</f>
        <v>2 Bedrooms</v>
      </c>
      <c r="AQ115" s="570">
        <f>Application!O727</f>
        <v>1399</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5"/>
      <c r="F116" s="2106"/>
      <c r="G116" s="2106"/>
      <c r="H116" s="2106"/>
      <c r="I116" s="2106"/>
      <c r="J116" s="2106"/>
      <c r="K116" s="2106"/>
      <c r="L116" s="2106"/>
      <c r="M116" s="2106"/>
      <c r="N116" s="2106"/>
      <c r="O116" s="2106"/>
      <c r="P116" s="2106"/>
      <c r="Q116" s="2106"/>
      <c r="R116" s="2106"/>
      <c r="S116" s="2106"/>
      <c r="T116" s="2106"/>
      <c r="U116" s="2106"/>
      <c r="V116" s="2106"/>
      <c r="W116" s="2106"/>
      <c r="X116" s="2106"/>
      <c r="Y116" s="2106"/>
      <c r="Z116" s="2106"/>
      <c r="AA116" s="2106"/>
      <c r="AB116" s="2106"/>
      <c r="AC116" s="2106"/>
      <c r="AD116" s="2106"/>
      <c r="AE116" s="2106"/>
      <c r="AF116" s="2106"/>
      <c r="AG116" s="2106"/>
      <c r="AH116" s="2106"/>
      <c r="AI116" s="2106"/>
      <c r="AJ116" s="2107"/>
      <c r="AK116" s="574"/>
      <c r="AL116" s="574"/>
      <c r="AM116" s="574"/>
      <c r="AN116" s="569"/>
      <c r="AO116" s="570" t="str">
        <f>Application!B728</f>
        <v>2 Bedrooms</v>
      </c>
      <c r="AQ116" s="570">
        <f>Application!O728</f>
        <v>1698</v>
      </c>
      <c r="AV116" s="570">
        <f>SUM(AV110:AV115)</f>
        <v>164</v>
      </c>
      <c r="AW116" s="1046">
        <f>SUM(AW110:AW115)</f>
        <v>1.0000000000000002</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1997</v>
      </c>
    </row>
    <row r="118" spans="1:52" s="570" customFormat="1" ht="12.75" customHeight="1">
      <c r="A118" s="574"/>
      <c r="B118" s="573"/>
      <c r="C118" s="574"/>
      <c r="D118" s="574"/>
      <c r="E118" s="2098" t="s">
        <v>1700</v>
      </c>
      <c r="F118" s="2099"/>
      <c r="G118" s="2099"/>
      <c r="H118" s="2099"/>
      <c r="I118" s="611"/>
      <c r="J118" s="2099" t="s">
        <v>1744</v>
      </c>
      <c r="K118" s="2099"/>
      <c r="L118" s="2099"/>
      <c r="M118" s="2099"/>
      <c r="N118" s="611"/>
      <c r="O118" s="2099" t="s">
        <v>1745</v>
      </c>
      <c r="P118" s="2099"/>
      <c r="Q118" s="2099"/>
      <c r="R118" s="2099"/>
      <c r="S118" s="611"/>
      <c r="T118" s="2099" t="s">
        <v>1445</v>
      </c>
      <c r="U118" s="2099"/>
      <c r="V118" s="2099"/>
      <c r="W118" s="2099"/>
      <c r="X118" s="611"/>
      <c r="Y118" s="2099" t="s">
        <v>1746</v>
      </c>
      <c r="Z118" s="2099"/>
      <c r="AA118" s="2099"/>
      <c r="AB118" s="2099"/>
      <c r="AC118" s="611"/>
      <c r="AD118" s="2099" t="s">
        <v>1747</v>
      </c>
      <c r="AE118" s="2099"/>
      <c r="AF118" s="2099"/>
      <c r="AG118" s="2099"/>
      <c r="AH118" s="611"/>
      <c r="AI118" s="611"/>
      <c r="AJ118" s="613"/>
      <c r="AK118" s="574"/>
      <c r="AL118" s="574"/>
      <c r="AM118" s="574"/>
      <c r="AN118" s="569"/>
      <c r="AO118" s="570" t="str">
        <f>Application!B730</f>
        <v>3 Bedrooms</v>
      </c>
      <c r="AQ118" s="570">
        <f>Application!O730</f>
        <v>913</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913</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1258</v>
      </c>
    </row>
    <row r="121" spans="1:52" s="570" customFormat="1" ht="12.75" customHeight="1">
      <c r="A121" s="574"/>
      <c r="B121" s="573"/>
      <c r="C121" s="574"/>
      <c r="D121" s="574"/>
      <c r="E121" s="2100"/>
      <c r="F121" s="2101"/>
      <c r="G121" s="2101"/>
      <c r="H121" s="2101"/>
      <c r="I121" s="898"/>
      <c r="J121" s="2101">
        <v>2090</v>
      </c>
      <c r="K121" s="2101"/>
      <c r="L121" s="2101"/>
      <c r="M121" s="2101"/>
      <c r="N121" s="898"/>
      <c r="O121" s="2101">
        <v>2436</v>
      </c>
      <c r="P121" s="2101"/>
      <c r="Q121" s="2101"/>
      <c r="R121" s="2101"/>
      <c r="S121" s="898"/>
      <c r="T121" s="2101">
        <v>2765</v>
      </c>
      <c r="U121" s="2101"/>
      <c r="V121" s="2101"/>
      <c r="W121" s="2101"/>
      <c r="X121" s="898"/>
      <c r="Y121" s="2101">
        <v>3781</v>
      </c>
      <c r="Z121" s="2101"/>
      <c r="AA121" s="2101"/>
      <c r="AB121" s="2101"/>
      <c r="AC121" s="898"/>
      <c r="AD121" s="2101"/>
      <c r="AE121" s="2101"/>
      <c r="AF121" s="2101"/>
      <c r="AG121" s="2101"/>
      <c r="AH121" s="611"/>
      <c r="AI121" s="611"/>
      <c r="AJ121" s="613"/>
      <c r="AK121" s="574"/>
      <c r="AL121" s="574"/>
      <c r="AM121" s="574"/>
      <c r="AN121" s="569"/>
      <c r="AO121" s="570" t="str">
        <f>Application!B733</f>
        <v>3 Bedrooms</v>
      </c>
      <c r="AQ121" s="570">
        <f>Application!O733</f>
        <v>1603</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3 Bedrooms</v>
      </c>
      <c r="AQ122" s="570">
        <f>Application!O734</f>
        <v>1949</v>
      </c>
      <c r="AU122" s="1044"/>
      <c r="AV122" s="1044"/>
      <c r="AW122" s="1044"/>
      <c r="AX122" s="1044"/>
      <c r="AY122" s="1044"/>
      <c r="AZ122" s="1044"/>
    </row>
    <row r="123" spans="1:52" s="570" customFormat="1" ht="12.75"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3 Bedrooms</v>
      </c>
      <c r="AQ123" s="570">
        <f>Application!O735</f>
        <v>2294</v>
      </c>
      <c r="AU123" s="1044"/>
      <c r="AV123" s="1044"/>
      <c r="AW123" s="1044"/>
      <c r="AX123" s="1044"/>
      <c r="AY123" s="1044"/>
      <c r="AZ123" s="1044"/>
    </row>
    <row r="124" spans="1:52" s="570" customFormat="1" ht="12.75" customHeight="1">
      <c r="A124" s="574"/>
      <c r="B124" s="573"/>
      <c r="C124" s="574"/>
      <c r="D124" s="574"/>
      <c r="E124" s="2108">
        <f>Application!DX670</f>
        <v>0</v>
      </c>
      <c r="F124" s="2109"/>
      <c r="G124" s="2109"/>
      <c r="H124" s="2109"/>
      <c r="I124" s="898"/>
      <c r="J124" s="2109">
        <f>Application!EC670</f>
        <v>1425</v>
      </c>
      <c r="K124" s="2109"/>
      <c r="L124" s="2109"/>
      <c r="M124" s="2109"/>
      <c r="N124" s="898"/>
      <c r="O124" s="2109">
        <f>Application!EH670</f>
        <v>1611.1935483870968</v>
      </c>
      <c r="P124" s="2109"/>
      <c r="Q124" s="2109"/>
      <c r="R124" s="2109"/>
      <c r="S124" s="902"/>
      <c r="T124" s="2109">
        <f>Application!EM670</f>
        <v>1917.3090909090909</v>
      </c>
      <c r="U124" s="2109"/>
      <c r="V124" s="2109"/>
      <c r="W124" s="2109"/>
      <c r="X124" s="902"/>
      <c r="Y124" s="2109">
        <f>Application!ER670</f>
        <v>2117.1111111111113</v>
      </c>
      <c r="Z124" s="2109"/>
      <c r="AA124" s="2109"/>
      <c r="AB124" s="2109"/>
      <c r="AC124" s="902"/>
      <c r="AD124" s="2109">
        <f>Application!EW670</f>
        <v>0</v>
      </c>
      <c r="AE124" s="2109"/>
      <c r="AF124" s="2109"/>
      <c r="AG124" s="2109"/>
      <c r="AH124" s="611"/>
      <c r="AI124" s="611"/>
      <c r="AJ124" s="613"/>
      <c r="AK124" s="574"/>
      <c r="AL124" s="574"/>
      <c r="AM124" s="574"/>
      <c r="AN124" s="569"/>
      <c r="AO124" s="570" t="str">
        <f>Application!B736</f>
        <v>4 Bedrooms</v>
      </c>
      <c r="AQ124" s="570">
        <f>Application!O736</f>
        <v>1004</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t="str">
        <f>Application!B737</f>
        <v>4 Bedrooms</v>
      </c>
      <c r="AQ125" s="570">
        <f>Application!O737</f>
        <v>1390</v>
      </c>
      <c r="AU125" s="1044"/>
      <c r="AV125" s="1044"/>
      <c r="AW125" s="1045"/>
      <c r="AX125" s="1045"/>
      <c r="AY125" s="1044"/>
      <c r="AZ125" s="1044"/>
    </row>
    <row r="126" spans="1:52" s="570" customFormat="1" ht="12.75"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t="str">
        <f>Application!B738</f>
        <v>4 Bedrooms</v>
      </c>
      <c r="AQ126" s="570">
        <f>Application!O738</f>
        <v>1775</v>
      </c>
      <c r="AU126" s="1044"/>
      <c r="AV126" s="1044"/>
      <c r="AW126" s="1045"/>
      <c r="AX126" s="1045"/>
      <c r="AY126" s="1044"/>
      <c r="AZ126" s="1044"/>
    </row>
    <row r="127" spans="1:52" s="570" customFormat="1" ht="12.75" customHeight="1">
      <c r="A127" s="574"/>
      <c r="B127" s="573"/>
      <c r="C127" s="574"/>
      <c r="D127" s="574"/>
      <c r="E127" s="1901" t="e">
        <f>(E121-E124)/E121</f>
        <v>#DIV/0!</v>
      </c>
      <c r="F127" s="1902"/>
      <c r="G127" s="1902"/>
      <c r="H127" s="1903"/>
      <c r="I127" s="611"/>
      <c r="J127" s="1901">
        <f>(J121-J124)/J121</f>
        <v>0.31818181818181818</v>
      </c>
      <c r="K127" s="1902"/>
      <c r="L127" s="1902"/>
      <c r="M127" s="1903"/>
      <c r="N127" s="611"/>
      <c r="O127" s="1901">
        <f>(O121-O124)/O121</f>
        <v>0.33859049737803909</v>
      </c>
      <c r="P127" s="1902"/>
      <c r="Q127" s="1902"/>
      <c r="R127" s="1903"/>
      <c r="S127" s="611"/>
      <c r="T127" s="1901">
        <f>(T121-T124)/T121</f>
        <v>0.30657899062962357</v>
      </c>
      <c r="U127" s="1902"/>
      <c r="V127" s="1902"/>
      <c r="W127" s="1903"/>
      <c r="X127" s="611"/>
      <c r="Y127" s="1901">
        <f>(Y121-Y124)/Y121</f>
        <v>0.44006582620705864</v>
      </c>
      <c r="Z127" s="1902"/>
      <c r="AA127" s="1902"/>
      <c r="AB127" s="1903"/>
      <c r="AC127" s="611"/>
      <c r="AD127" s="1901" t="e">
        <f>(AD121-AD124)/AD121</f>
        <v>#DIV/0!</v>
      </c>
      <c r="AE127" s="1902"/>
      <c r="AF127" s="1902"/>
      <c r="AG127" s="1903"/>
      <c r="AH127" s="611"/>
      <c r="AI127" s="611"/>
      <c r="AJ127" s="613"/>
      <c r="AK127" s="574"/>
      <c r="AL127" s="574"/>
      <c r="AM127" s="574"/>
      <c r="AN127" s="569"/>
      <c r="AO127" s="570" t="str">
        <f>Application!B739</f>
        <v>4 Bedrooms</v>
      </c>
      <c r="AQ127" s="570">
        <f>Application!O739</f>
        <v>2160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t="str">
        <f>Application!B740</f>
        <v>4 Bedrooms</v>
      </c>
      <c r="AQ128" s="570">
        <f>Application!O740</f>
        <v>2545</v>
      </c>
      <c r="AU128" s="1044"/>
      <c r="AV128" s="1044"/>
      <c r="AW128" s="1045"/>
      <c r="AX128" s="1045"/>
      <c r="AY128" s="1044"/>
      <c r="AZ128" s="1044"/>
    </row>
    <row r="129" spans="1:52" s="570" customFormat="1" ht="12.75" customHeight="1">
      <c r="A129" s="574"/>
      <c r="B129" s="573"/>
      <c r="C129" s="574"/>
      <c r="D129" s="574"/>
      <c r="E129" s="1040" t="s">
        <v>2034</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1" t="e">
        <f>IF(((E127-0.1)*AW110)&gt;0,((E127-0.1)*AW110),0)</f>
        <v>#DIV/0!</v>
      </c>
      <c r="F130" s="2112"/>
      <c r="G130" s="2112"/>
      <c r="H130" s="2113"/>
      <c r="I130" s="611"/>
      <c r="J130" s="2111">
        <f>IF(((J127-0.1)*AW111)&gt;0,((J127-0.1)*AW111),0)</f>
        <v>7.9822616407982258E-2</v>
      </c>
      <c r="K130" s="2112"/>
      <c r="L130" s="2112"/>
      <c r="M130" s="2113"/>
      <c r="N130" s="611"/>
      <c r="O130" s="2111">
        <f>IF(((O127-0.1)*AW112)&gt;0,((O127-0.1)*AW112),0)</f>
        <v>4.5099423284873243E-2</v>
      </c>
      <c r="P130" s="2112"/>
      <c r="Q130" s="2112"/>
      <c r="R130" s="2113"/>
      <c r="S130" s="611"/>
      <c r="T130" s="2111">
        <f>IF(((T127-0.1)*AW113)&gt;0,((T127-0.1)*AW113),0)</f>
        <v>6.9279539540422541E-2</v>
      </c>
      <c r="U130" s="2112"/>
      <c r="V130" s="2112"/>
      <c r="W130" s="2113"/>
      <c r="X130" s="611"/>
      <c r="Y130" s="2111">
        <f>IF(((Y127-0.1)*AW114)&gt;0,((Y127-0.1)*AW114),0)</f>
        <v>3.7324297998335698E-2</v>
      </c>
      <c r="Z130" s="2112"/>
      <c r="AA130" s="2112"/>
      <c r="AB130" s="2113"/>
      <c r="AC130" s="611"/>
      <c r="AD130" s="2111" t="e">
        <f>IF(((AD127-0.1)*AW115)&gt;0,((AD127-0.1)*AW115),0)</f>
        <v>#DIV/0!</v>
      </c>
      <c r="AE130" s="2112"/>
      <c r="AF130" s="2112"/>
      <c r="AG130" s="211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1">
        <f>ROUNDDOWN(SUMIF(E130:AG130,"&gt;0"),2)</f>
        <v>0.23</v>
      </c>
      <c r="F132" s="1902"/>
      <c r="G132" s="1902"/>
      <c r="H132" s="1903"/>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4">
        <f>IF((E132*100)&gt;10,10,E132*100)</f>
        <v>10</v>
      </c>
      <c r="F133" s="2085"/>
      <c r="G133" s="2085"/>
      <c r="H133" s="2086"/>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84">
        <f>E133</f>
        <v>10</v>
      </c>
      <c r="AL137" s="2085"/>
      <c r="AM137" s="208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28" t="s">
        <v>1425</v>
      </c>
      <c r="AF140" s="1928"/>
      <c r="AG140" s="1928"/>
      <c r="AH140" s="1928"/>
      <c r="AI140" s="1928"/>
      <c r="AJ140" s="1928"/>
      <c r="AK140" s="1928"/>
      <c r="AL140" s="625"/>
      <c r="AN140" s="626"/>
      <c r="AO140" s="570"/>
    </row>
    <row r="141" spans="1:52" s="573" customFormat="1" ht="12.9"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5" t="s">
        <v>1449</v>
      </c>
      <c r="AG142" s="1995"/>
      <c r="AH142" s="1995"/>
      <c r="AI142" s="1995"/>
      <c r="AJ142" s="1995"/>
      <c r="AK142" s="1995"/>
      <c r="AL142" s="1995"/>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9" t="s">
        <v>2716</v>
      </c>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90" t="s">
        <v>1452</v>
      </c>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M147" s="573"/>
      <c r="AN147" s="569"/>
      <c r="AO147" s="510" t="s">
        <v>1452</v>
      </c>
      <c r="AP147" s="523">
        <v>7</v>
      </c>
    </row>
    <row r="148" spans="1:42" s="570" customFormat="1" ht="12.9"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5" customHeight="1">
      <c r="A149" s="572"/>
      <c r="B149" s="573" t="s">
        <v>1453</v>
      </c>
      <c r="AB149" s="2031" t="s">
        <v>599</v>
      </c>
      <c r="AC149" s="203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90" t="s">
        <v>1454</v>
      </c>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55">
        <f>IF($AB$149="N/A",VLOOKUP($B$147,$AO$145:$AP$148,2,FALSE),VLOOKUP($B$152,$AO$150:$AP$152,2,FALSE))</f>
        <v>7</v>
      </c>
      <c r="AK155" s="195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5" t="s">
        <v>1463</v>
      </c>
      <c r="AG157" s="1995"/>
      <c r="AH157" s="1995"/>
      <c r="AI157" s="1995"/>
      <c r="AJ157" s="1995"/>
      <c r="AK157" s="1995"/>
      <c r="AL157" s="1995"/>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0" t="s">
        <v>1461</v>
      </c>
      <c r="D159" s="2090"/>
      <c r="E159" s="2090"/>
      <c r="F159" s="2090"/>
      <c r="G159" s="2090"/>
      <c r="H159" s="2090"/>
      <c r="I159" s="2090"/>
      <c r="J159" s="2090"/>
      <c r="K159" s="2090"/>
      <c r="L159" s="2090"/>
      <c r="M159" s="2090"/>
      <c r="N159" s="2090"/>
      <c r="O159" s="2090"/>
      <c r="P159" s="2090"/>
      <c r="Q159" s="2090"/>
      <c r="R159" s="2090"/>
      <c r="S159" s="2090"/>
      <c r="T159" s="2090"/>
      <c r="U159" s="2090"/>
      <c r="V159" s="2090"/>
      <c r="W159" s="2090"/>
      <c r="X159" s="2090"/>
      <c r="Y159" s="2090"/>
      <c r="Z159" s="2090"/>
      <c r="AA159" s="2090"/>
      <c r="AB159" s="2090"/>
      <c r="AC159" s="2090"/>
      <c r="AD159" s="2090"/>
      <c r="AE159" s="2090"/>
      <c r="AF159" s="2090"/>
      <c r="AG159" s="2090"/>
      <c r="AH159" s="2090"/>
      <c r="AI159" s="2090"/>
      <c r="AJ159" s="570"/>
      <c r="AK159" s="570"/>
      <c r="AL159" s="570"/>
      <c r="AM159" s="637"/>
      <c r="AN159" s="631"/>
      <c r="AO159" s="510" t="s">
        <v>308</v>
      </c>
      <c r="AP159" s="510"/>
    </row>
    <row r="160" spans="1:42" s="584" customFormat="1" ht="12.9"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1" t="s">
        <v>599</v>
      </c>
      <c r="AG161" s="2031"/>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90" t="s">
        <v>1454</v>
      </c>
      <c r="D163" s="2090"/>
      <c r="E163" s="2090"/>
      <c r="F163" s="2090"/>
      <c r="G163" s="2090"/>
      <c r="H163" s="2090"/>
      <c r="I163" s="2090"/>
      <c r="J163" s="2090"/>
      <c r="K163" s="2090"/>
      <c r="L163" s="2090"/>
      <c r="M163" s="2090"/>
      <c r="N163" s="2090"/>
      <c r="O163" s="2090"/>
      <c r="P163" s="2090"/>
      <c r="Q163" s="2090"/>
      <c r="R163" s="2090"/>
      <c r="S163" s="2090"/>
      <c r="T163" s="2090"/>
      <c r="U163" s="2090"/>
      <c r="V163" s="2090"/>
      <c r="W163" s="2090"/>
      <c r="X163" s="2090"/>
      <c r="Y163" s="2090"/>
      <c r="Z163" s="2090"/>
      <c r="AA163" s="2090"/>
      <c r="AB163" s="2090"/>
      <c r="AC163" s="2090"/>
      <c r="AD163" s="2090"/>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89" t="s">
        <v>2774</v>
      </c>
      <c r="D167" s="2089"/>
      <c r="E167" s="2089"/>
      <c r="F167" s="2089"/>
      <c r="G167" s="2089"/>
      <c r="H167" s="2089"/>
      <c r="I167" s="2089"/>
      <c r="J167" s="2089"/>
      <c r="K167" s="2089"/>
      <c r="L167" s="2089"/>
      <c r="M167" s="2089"/>
      <c r="N167" s="2089"/>
      <c r="O167" s="2089"/>
      <c r="P167" s="2089"/>
      <c r="Q167" s="2089"/>
      <c r="R167" s="2089"/>
      <c r="S167" s="2089"/>
      <c r="T167" s="2089"/>
      <c r="U167" s="2089"/>
      <c r="V167" s="2089"/>
      <c r="W167" s="2089"/>
      <c r="X167" s="2089"/>
      <c r="Y167" s="2089"/>
      <c r="Z167" s="2089"/>
      <c r="AA167" s="2089"/>
      <c r="AB167" s="2089"/>
      <c r="AC167" s="2089"/>
      <c r="AD167" s="2089"/>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54">
        <f>IF($AF$161="N/A",VLOOKUP($C$159,$AO$159:$AP$162,2,FALSE),VLOOKUP($C$163,$AO$166:$AP$168,2,FALSE))</f>
        <v>3</v>
      </c>
      <c r="AK169" s="195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84">
        <f>$AJ$155+$AJ$169</f>
        <v>10</v>
      </c>
      <c r="AL172" s="2085"/>
      <c r="AM172" s="208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8" t="s">
        <v>1425</v>
      </c>
      <c r="AF175" s="1928"/>
      <c r="AG175" s="1928"/>
      <c r="AH175" s="1928"/>
      <c r="AI175" s="1928"/>
      <c r="AJ175" s="1928"/>
      <c r="AK175" s="1928"/>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87" t="s">
        <v>1065</v>
      </c>
      <c r="C177" s="2087"/>
      <c r="D177" s="2087"/>
      <c r="E177" s="2087"/>
      <c r="F177" s="2087"/>
      <c r="G177" s="2087"/>
      <c r="H177" s="2087"/>
      <c r="I177" s="2087"/>
      <c r="J177" s="2087"/>
      <c r="K177" s="2087"/>
      <c r="L177" s="2087"/>
      <c r="M177" s="2087"/>
      <c r="N177" s="2087"/>
      <c r="O177" s="2087"/>
      <c r="P177" s="2087"/>
      <c r="Q177" s="2087"/>
      <c r="R177" s="2087"/>
      <c r="S177" s="2087"/>
      <c r="T177" s="2087"/>
      <c r="U177" s="2087"/>
      <c r="V177" s="2087"/>
      <c r="W177" s="2087"/>
      <c r="X177" s="2087"/>
      <c r="Y177" s="2087"/>
      <c r="Z177" s="2087"/>
      <c r="AA177" s="2087"/>
      <c r="AB177" s="2087"/>
      <c r="AC177" s="2087"/>
      <c r="AD177" s="570"/>
      <c r="AE177" s="570"/>
      <c r="AF177" s="1995" t="s">
        <v>1474</v>
      </c>
      <c r="AG177" s="1995"/>
      <c r="AH177" s="1995"/>
      <c r="AI177" s="1995"/>
      <c r="AJ177" s="1995"/>
      <c r="AK177" s="1995"/>
      <c r="AL177" s="1995"/>
      <c r="AN177" s="631"/>
      <c r="AP177" s="584" t="s">
        <v>1067</v>
      </c>
      <c r="AQ177" s="584">
        <v>10</v>
      </c>
    </row>
    <row r="178" spans="1:45" s="584" customFormat="1" ht="12.75" customHeight="1">
      <c r="A178" s="570"/>
      <c r="B178" s="2088" t="s">
        <v>1913</v>
      </c>
      <c r="C178" s="2088"/>
      <c r="D178" s="2088"/>
      <c r="E178" s="2088"/>
      <c r="F178" s="2088"/>
      <c r="G178" s="2088"/>
      <c r="H178" s="2088"/>
      <c r="I178" s="2088"/>
      <c r="J178" s="2088"/>
      <c r="K178" s="2088"/>
      <c r="L178" s="2088"/>
      <c r="M178" s="2088"/>
      <c r="N178" s="2088"/>
      <c r="O178" s="2088"/>
      <c r="P178" s="2088"/>
      <c r="Q178" s="2088"/>
      <c r="R178" s="2088"/>
      <c r="S178" s="2088"/>
      <c r="T178" s="2089" t="s">
        <v>599</v>
      </c>
      <c r="U178" s="2089"/>
      <c r="V178" s="2089"/>
      <c r="W178" s="2089"/>
      <c r="X178" s="2089"/>
      <c r="Y178" s="2089"/>
      <c r="Z178" s="2089"/>
      <c r="AA178" s="2089"/>
      <c r="AB178" s="2089"/>
      <c r="AC178" s="2089"/>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22">
        <f>IF(AK78&gt;0,VLOOKUP($B$177,AP174:AQ180,2,FALSE),0)</f>
        <v>10</v>
      </c>
      <c r="AL180" s="1923"/>
      <c r="AM180" s="1924"/>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8" t="s">
        <v>1483</v>
      </c>
      <c r="AF183" s="1928"/>
      <c r="AG183" s="1928"/>
      <c r="AH183" s="1928"/>
      <c r="AI183" s="1928"/>
      <c r="AJ183" s="1928"/>
      <c r="AK183" s="192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1" t="s">
        <v>2717</v>
      </c>
      <c r="C188" s="2081"/>
      <c r="D188" s="2081"/>
      <c r="E188" s="2081"/>
      <c r="F188" s="2081"/>
      <c r="G188" s="2081"/>
      <c r="H188" s="2081"/>
      <c r="I188" s="2081"/>
      <c r="J188" s="2081"/>
      <c r="K188" s="2081"/>
      <c r="L188" s="2081"/>
      <c r="M188" s="2081"/>
      <c r="N188" s="2081"/>
      <c r="O188" s="2081"/>
      <c r="P188" s="2081"/>
      <c r="Q188" s="2081"/>
      <c r="R188" s="2081"/>
      <c r="S188" s="2081"/>
      <c r="T188" s="2081"/>
      <c r="U188" s="2081"/>
      <c r="V188" s="2081"/>
      <c r="W188" s="2081"/>
      <c r="X188" s="2081"/>
      <c r="Y188" s="2081"/>
      <c r="Z188" s="2081"/>
      <c r="AA188" s="2081"/>
      <c r="AB188" s="2081"/>
      <c r="AC188" s="880"/>
      <c r="AD188" s="2071">
        <v>5157949</v>
      </c>
      <c r="AE188" s="2071"/>
      <c r="AF188" s="2071"/>
      <c r="AG188" s="2071"/>
      <c r="AH188" s="2071"/>
      <c r="AI188" s="2071"/>
      <c r="AJ188" s="2071"/>
      <c r="AK188" s="644"/>
    </row>
    <row r="189" spans="1:45">
      <c r="A189" s="639"/>
      <c r="B189" s="2081" t="s">
        <v>2718</v>
      </c>
      <c r="C189" s="2081"/>
      <c r="D189" s="2081"/>
      <c r="E189" s="2081"/>
      <c r="F189" s="2081"/>
      <c r="G189" s="2081"/>
      <c r="H189" s="2081"/>
      <c r="I189" s="2081"/>
      <c r="J189" s="2081"/>
      <c r="K189" s="2081"/>
      <c r="L189" s="2081"/>
      <c r="M189" s="2081"/>
      <c r="N189" s="2081"/>
      <c r="O189" s="2081"/>
      <c r="P189" s="2081"/>
      <c r="Q189" s="2081"/>
      <c r="R189" s="2081"/>
      <c r="S189" s="2081"/>
      <c r="T189" s="2081"/>
      <c r="U189" s="2081"/>
      <c r="V189" s="2081"/>
      <c r="W189" s="2081"/>
      <c r="X189" s="2081"/>
      <c r="Y189" s="2081"/>
      <c r="Z189" s="2081"/>
      <c r="AA189" s="2081"/>
      <c r="AB189" s="2081"/>
      <c r="AC189" s="880"/>
      <c r="AD189" s="2071">
        <v>5500000</v>
      </c>
      <c r="AE189" s="2071"/>
      <c r="AF189" s="2071"/>
      <c r="AG189" s="2071"/>
      <c r="AH189" s="2071"/>
      <c r="AI189" s="2071"/>
      <c r="AJ189" s="2071"/>
      <c r="AK189" s="644"/>
    </row>
    <row r="190" spans="1:45">
      <c r="A190" s="639"/>
      <c r="B190" s="2081"/>
      <c r="C190" s="2081"/>
      <c r="D190" s="2081"/>
      <c r="E190" s="2081"/>
      <c r="F190" s="2081"/>
      <c r="G190" s="2081"/>
      <c r="H190" s="2081"/>
      <c r="I190" s="2081"/>
      <c r="J190" s="2081"/>
      <c r="K190" s="2081"/>
      <c r="L190" s="2081"/>
      <c r="M190" s="2081"/>
      <c r="N190" s="2081"/>
      <c r="O190" s="2081"/>
      <c r="P190" s="2081"/>
      <c r="Q190" s="2081"/>
      <c r="R190" s="2081"/>
      <c r="S190" s="2081"/>
      <c r="T190" s="2081"/>
      <c r="U190" s="2081"/>
      <c r="V190" s="2081"/>
      <c r="W190" s="2081"/>
      <c r="X190" s="2081"/>
      <c r="Y190" s="2081"/>
      <c r="Z190" s="2081"/>
      <c r="AA190" s="2081"/>
      <c r="AB190" s="2081"/>
      <c r="AC190" s="880"/>
      <c r="AD190" s="2071"/>
      <c r="AE190" s="2071"/>
      <c r="AF190" s="2071"/>
      <c r="AG190" s="2071"/>
      <c r="AH190" s="2071"/>
      <c r="AI190" s="2071"/>
      <c r="AJ190" s="2071"/>
      <c r="AK190" s="644"/>
    </row>
    <row r="191" spans="1:45">
      <c r="A191" s="639"/>
      <c r="B191" s="2081"/>
      <c r="C191" s="2081"/>
      <c r="D191" s="2081"/>
      <c r="E191" s="2081"/>
      <c r="F191" s="2081"/>
      <c r="G191" s="2081"/>
      <c r="H191" s="2081"/>
      <c r="I191" s="2081"/>
      <c r="J191" s="2081"/>
      <c r="K191" s="2081"/>
      <c r="L191" s="2081"/>
      <c r="M191" s="2081"/>
      <c r="N191" s="2081"/>
      <c r="O191" s="2081"/>
      <c r="P191" s="2081"/>
      <c r="Q191" s="2081"/>
      <c r="R191" s="2081"/>
      <c r="S191" s="2081"/>
      <c r="T191" s="2081"/>
      <c r="U191" s="2081"/>
      <c r="V191" s="2081"/>
      <c r="W191" s="2081"/>
      <c r="X191" s="2081"/>
      <c r="Y191" s="2081"/>
      <c r="Z191" s="2081"/>
      <c r="AA191" s="2081"/>
      <c r="AB191" s="2081"/>
      <c r="AC191" s="880"/>
      <c r="AD191" s="2071"/>
      <c r="AE191" s="2071"/>
      <c r="AF191" s="2071"/>
      <c r="AG191" s="2071"/>
      <c r="AH191" s="2071"/>
      <c r="AI191" s="2071"/>
      <c r="AJ191" s="2071"/>
      <c r="AK191" s="644"/>
    </row>
    <row r="192" spans="1:45">
      <c r="A192" s="639"/>
      <c r="B192" s="2081"/>
      <c r="C192" s="2081"/>
      <c r="D192" s="2081"/>
      <c r="E192" s="2081"/>
      <c r="F192" s="2081"/>
      <c r="G192" s="2081"/>
      <c r="H192" s="2081"/>
      <c r="I192" s="2081"/>
      <c r="J192" s="2081"/>
      <c r="K192" s="2081"/>
      <c r="L192" s="2081"/>
      <c r="M192" s="2081"/>
      <c r="N192" s="2081"/>
      <c r="O192" s="2081"/>
      <c r="P192" s="2081"/>
      <c r="Q192" s="2081"/>
      <c r="R192" s="2081"/>
      <c r="S192" s="2081"/>
      <c r="T192" s="2081"/>
      <c r="U192" s="2081"/>
      <c r="V192" s="2081"/>
      <c r="W192" s="2081"/>
      <c r="X192" s="2081"/>
      <c r="Y192" s="2081"/>
      <c r="Z192" s="2081"/>
      <c r="AA192" s="2081"/>
      <c r="AB192" s="2081"/>
      <c r="AC192" s="880"/>
      <c r="AD192" s="2071"/>
      <c r="AE192" s="2071"/>
      <c r="AF192" s="2071"/>
      <c r="AG192" s="2071"/>
      <c r="AH192" s="2071"/>
      <c r="AI192" s="2071"/>
      <c r="AJ192" s="2071"/>
      <c r="AK192" s="644"/>
    </row>
    <row r="193" spans="1:37">
      <c r="A193" s="639"/>
      <c r="B193" s="2081"/>
      <c r="C193" s="2081"/>
      <c r="D193" s="2081"/>
      <c r="E193" s="2081"/>
      <c r="F193" s="2081"/>
      <c r="G193" s="2081"/>
      <c r="H193" s="2081"/>
      <c r="I193" s="2081"/>
      <c r="J193" s="2081"/>
      <c r="K193" s="2081"/>
      <c r="L193" s="2081"/>
      <c r="M193" s="2081"/>
      <c r="N193" s="2081"/>
      <c r="O193" s="2081"/>
      <c r="P193" s="2081"/>
      <c r="Q193" s="2081"/>
      <c r="R193" s="2081"/>
      <c r="S193" s="2081"/>
      <c r="T193" s="2081"/>
      <c r="U193" s="2081"/>
      <c r="V193" s="2081"/>
      <c r="W193" s="2081"/>
      <c r="X193" s="2081"/>
      <c r="Y193" s="2081"/>
      <c r="Z193" s="2081"/>
      <c r="AA193" s="2081"/>
      <c r="AB193" s="2081"/>
      <c r="AC193" s="880"/>
      <c r="AD193" s="2071"/>
      <c r="AE193" s="2071"/>
      <c r="AF193" s="2071"/>
      <c r="AG193" s="2071"/>
      <c r="AH193" s="2071"/>
      <c r="AI193" s="2071"/>
      <c r="AJ193" s="2071"/>
      <c r="AK193" s="644"/>
    </row>
    <row r="194" spans="1:37">
      <c r="A194" s="639"/>
      <c r="B194" s="2081"/>
      <c r="C194" s="2081"/>
      <c r="D194" s="2081"/>
      <c r="E194" s="2081"/>
      <c r="F194" s="2081"/>
      <c r="G194" s="2081"/>
      <c r="H194" s="2081"/>
      <c r="I194" s="2081"/>
      <c r="J194" s="2081"/>
      <c r="K194" s="2081"/>
      <c r="L194" s="2081"/>
      <c r="M194" s="2081"/>
      <c r="N194" s="2081"/>
      <c r="O194" s="2081"/>
      <c r="P194" s="2081"/>
      <c r="Q194" s="2081"/>
      <c r="R194" s="2081"/>
      <c r="S194" s="2081"/>
      <c r="T194" s="2081"/>
      <c r="U194" s="2081"/>
      <c r="V194" s="2081"/>
      <c r="W194" s="2081"/>
      <c r="X194" s="2081"/>
      <c r="Y194" s="2081"/>
      <c r="Z194" s="2081"/>
      <c r="AA194" s="2081"/>
      <c r="AB194" s="2081"/>
      <c r="AC194" s="880"/>
      <c r="AD194" s="2071"/>
      <c r="AE194" s="2071"/>
      <c r="AF194" s="2071"/>
      <c r="AG194" s="2071"/>
      <c r="AH194" s="2071"/>
      <c r="AI194" s="2071"/>
      <c r="AJ194" s="2071"/>
      <c r="AK194" s="644"/>
    </row>
    <row r="195" spans="1:37">
      <c r="A195" s="639"/>
      <c r="B195" s="2081"/>
      <c r="C195" s="2081"/>
      <c r="D195" s="2081"/>
      <c r="E195" s="2081"/>
      <c r="F195" s="2081"/>
      <c r="G195" s="2081"/>
      <c r="H195" s="2081"/>
      <c r="I195" s="2081"/>
      <c r="J195" s="2081"/>
      <c r="K195" s="2081"/>
      <c r="L195" s="2081"/>
      <c r="M195" s="2081"/>
      <c r="N195" s="2081"/>
      <c r="O195" s="2081"/>
      <c r="P195" s="2081"/>
      <c r="Q195" s="2081"/>
      <c r="R195" s="2081"/>
      <c r="S195" s="2081"/>
      <c r="T195" s="2081"/>
      <c r="U195" s="2081"/>
      <c r="V195" s="2081"/>
      <c r="W195" s="2081"/>
      <c r="X195" s="2081"/>
      <c r="Y195" s="2081"/>
      <c r="Z195" s="2081"/>
      <c r="AA195" s="2081"/>
      <c r="AB195" s="2081"/>
      <c r="AC195" s="880"/>
      <c r="AD195" s="2071"/>
      <c r="AE195" s="2071"/>
      <c r="AF195" s="2071"/>
      <c r="AG195" s="2071"/>
      <c r="AH195" s="2071"/>
      <c r="AI195" s="2071"/>
      <c r="AJ195" s="2071"/>
      <c r="AK195" s="644"/>
    </row>
    <row r="196" spans="1:37">
      <c r="A196" s="639"/>
      <c r="B196" s="2081"/>
      <c r="C196" s="2081"/>
      <c r="D196" s="2081"/>
      <c r="E196" s="2081"/>
      <c r="F196" s="2081"/>
      <c r="G196" s="2081"/>
      <c r="H196" s="2081"/>
      <c r="I196" s="2081"/>
      <c r="J196" s="2081"/>
      <c r="K196" s="2081"/>
      <c r="L196" s="2081"/>
      <c r="M196" s="2081"/>
      <c r="N196" s="2081"/>
      <c r="O196" s="2081"/>
      <c r="P196" s="2081"/>
      <c r="Q196" s="2081"/>
      <c r="R196" s="2081"/>
      <c r="S196" s="2081"/>
      <c r="T196" s="2081"/>
      <c r="U196" s="2081"/>
      <c r="V196" s="2081"/>
      <c r="W196" s="2081"/>
      <c r="X196" s="2081"/>
      <c r="Y196" s="2081"/>
      <c r="Z196" s="2081"/>
      <c r="AA196" s="2081"/>
      <c r="AB196" s="2081"/>
      <c r="AC196" s="880"/>
      <c r="AD196" s="2071"/>
      <c r="AE196" s="2071"/>
      <c r="AF196" s="2071"/>
      <c r="AG196" s="2071"/>
      <c r="AH196" s="2071"/>
      <c r="AI196" s="2071"/>
      <c r="AJ196" s="2071"/>
      <c r="AK196" s="644"/>
    </row>
    <row r="197" spans="1:37">
      <c r="A197" s="639"/>
      <c r="B197" s="2081"/>
      <c r="C197" s="2081"/>
      <c r="D197" s="2081"/>
      <c r="E197" s="2081"/>
      <c r="F197" s="2081"/>
      <c r="G197" s="2081"/>
      <c r="H197" s="2081"/>
      <c r="I197" s="2081"/>
      <c r="J197" s="2081"/>
      <c r="K197" s="2081"/>
      <c r="L197" s="2081"/>
      <c r="M197" s="2081"/>
      <c r="N197" s="2081"/>
      <c r="O197" s="2081"/>
      <c r="P197" s="2081"/>
      <c r="Q197" s="2081"/>
      <c r="R197" s="2081"/>
      <c r="S197" s="2081"/>
      <c r="T197" s="2081"/>
      <c r="U197" s="2081"/>
      <c r="V197" s="2081"/>
      <c r="W197" s="2081"/>
      <c r="X197" s="2081"/>
      <c r="Y197" s="2081"/>
      <c r="Z197" s="2081"/>
      <c r="AA197" s="2081"/>
      <c r="AB197" s="2081"/>
      <c r="AC197" s="880"/>
      <c r="AD197" s="2071"/>
      <c r="AE197" s="2071"/>
      <c r="AF197" s="2071"/>
      <c r="AG197" s="2071"/>
      <c r="AH197" s="2071"/>
      <c r="AI197" s="2071"/>
      <c r="AJ197" s="2071"/>
      <c r="AK197" s="644"/>
    </row>
    <row r="198" spans="1:37">
      <c r="A198" s="639"/>
      <c r="B198" s="1942" t="s">
        <v>1739</v>
      </c>
      <c r="C198" s="1942"/>
      <c r="D198" s="1942"/>
      <c r="E198" s="1942"/>
      <c r="F198" s="1942"/>
      <c r="G198" s="1942"/>
      <c r="H198" s="1942"/>
      <c r="I198" s="1942"/>
      <c r="J198" s="1942"/>
      <c r="K198" s="1942"/>
      <c r="L198" s="1942"/>
      <c r="M198" s="1942"/>
      <c r="N198" s="1942"/>
      <c r="O198" s="1942"/>
      <c r="P198" s="1942"/>
      <c r="Q198" s="1942"/>
      <c r="R198" s="1942"/>
      <c r="S198" s="1942"/>
      <c r="T198" s="1942"/>
      <c r="U198" s="1942"/>
      <c r="V198" s="1942"/>
      <c r="W198" s="1942"/>
      <c r="X198" s="1942"/>
      <c r="Y198" s="1942"/>
      <c r="Z198" s="1942"/>
      <c r="AA198" s="1942"/>
      <c r="AB198" s="1942"/>
      <c r="AC198" s="570"/>
      <c r="AD198" s="2069">
        <f>AB249</f>
        <v>1708041.1178318399</v>
      </c>
      <c r="AE198" s="2069"/>
      <c r="AF198" s="2069"/>
      <c r="AG198" s="2069"/>
      <c r="AH198" s="2069"/>
      <c r="AI198" s="2069"/>
      <c r="AJ198" s="2069"/>
      <c r="AK198" s="644"/>
    </row>
    <row r="199" spans="1:37">
      <c r="A199" s="639"/>
      <c r="B199" s="1940" t="s">
        <v>1702</v>
      </c>
      <c r="C199" s="1940"/>
      <c r="D199" s="1940"/>
      <c r="E199" s="1940"/>
      <c r="F199" s="1940"/>
      <c r="G199" s="1940"/>
      <c r="H199" s="1940"/>
      <c r="I199" s="1940"/>
      <c r="J199" s="1940"/>
      <c r="K199" s="1940"/>
      <c r="L199" s="1940"/>
      <c r="M199" s="1940"/>
      <c r="N199" s="1940"/>
      <c r="O199" s="1940"/>
      <c r="P199" s="1940"/>
      <c r="Q199" s="1940"/>
      <c r="R199" s="1940"/>
      <c r="S199" s="1940"/>
      <c r="T199" s="1940"/>
      <c r="U199" s="1940"/>
      <c r="V199" s="1940"/>
      <c r="W199" s="1940"/>
      <c r="X199" s="1940"/>
      <c r="Y199" s="1940"/>
      <c r="Z199" s="1940"/>
      <c r="AA199" s="1940"/>
      <c r="AB199" s="1940"/>
      <c r="AC199" s="880"/>
      <c r="AD199" s="2070">
        <f>'Sources and Uses Budget'!B15</f>
        <v>0</v>
      </c>
      <c r="AE199" s="2070"/>
      <c r="AF199" s="2070"/>
      <c r="AG199" s="2070"/>
      <c r="AH199" s="2070"/>
      <c r="AI199" s="2070"/>
      <c r="AJ199" s="207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5">
        <f>SUM(AD188:AJ198)-AD199</f>
        <v>12365990.117831839</v>
      </c>
      <c r="AE200" s="2075"/>
      <c r="AF200" s="2075"/>
      <c r="AG200" s="2075"/>
      <c r="AH200" s="2075"/>
      <c r="AI200" s="2075"/>
      <c r="AJ200" s="2075"/>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4" t="s">
        <v>1719</v>
      </c>
      <c r="J211" s="2094"/>
      <c r="K211" s="2094"/>
      <c r="L211" s="570"/>
      <c r="M211" s="570"/>
      <c r="N211" s="570"/>
      <c r="O211" s="570"/>
      <c r="P211" s="570"/>
      <c r="Q211" s="570"/>
      <c r="R211" s="570"/>
      <c r="S211" s="570"/>
      <c r="T211" s="1906" t="s">
        <v>1713</v>
      </c>
      <c r="U211" s="1906"/>
      <c r="V211" s="1906"/>
      <c r="W211" s="1906"/>
      <c r="X211" s="1906"/>
      <c r="Y211" s="1906"/>
      <c r="Z211" s="883"/>
      <c r="AA211" s="523"/>
      <c r="AB211" s="2091" t="s">
        <v>1714</v>
      </c>
      <c r="AC211" s="2091"/>
      <c r="AD211" s="2091"/>
      <c r="AE211" s="2091"/>
      <c r="AF211" s="2091"/>
      <c r="AG211" s="2091"/>
      <c r="AH211" s="861"/>
      <c r="AI211" s="861"/>
      <c r="AJ211" s="861"/>
      <c r="AK211" s="644"/>
    </row>
    <row r="212" spans="1:37">
      <c r="A212" s="639"/>
      <c r="B212" s="2092" t="s">
        <v>1699</v>
      </c>
      <c r="C212" s="2092"/>
      <c r="D212" s="2092"/>
      <c r="E212" s="2092"/>
      <c r="F212" s="2092"/>
      <c r="G212" s="2092"/>
      <c r="I212" s="2093" t="s">
        <v>1720</v>
      </c>
      <c r="J212" s="2093"/>
      <c r="K212" s="2093"/>
      <c r="L212" s="1043"/>
      <c r="N212" s="1941" t="s">
        <v>1715</v>
      </c>
      <c r="O212" s="1941"/>
      <c r="P212" s="1941"/>
      <c r="Q212" s="1941"/>
      <c r="R212" s="1941"/>
      <c r="T212" s="1941" t="s">
        <v>1716</v>
      </c>
      <c r="U212" s="1941"/>
      <c r="V212" s="1941"/>
      <c r="W212" s="1941"/>
      <c r="X212" s="1941"/>
      <c r="Y212" s="1941"/>
      <c r="Z212" s="884"/>
      <c r="AA212" s="523"/>
      <c r="AB212" s="1944" t="s">
        <v>1717</v>
      </c>
      <c r="AC212" s="1944"/>
      <c r="AD212" s="1944"/>
      <c r="AE212" s="1944"/>
      <c r="AF212" s="1944"/>
      <c r="AG212" s="1944"/>
      <c r="AH212" s="861"/>
      <c r="AI212" s="861"/>
      <c r="AJ212" s="861"/>
      <c r="AK212" s="644"/>
    </row>
    <row r="213" spans="1:37">
      <c r="A213" s="639"/>
      <c r="B213" s="1943" t="s">
        <v>2655</v>
      </c>
      <c r="C213" s="1943"/>
      <c r="D213" s="1943"/>
      <c r="E213" s="1943"/>
      <c r="F213" s="1943"/>
      <c r="G213" s="1943"/>
      <c r="H213" s="886"/>
      <c r="I213" s="1911">
        <v>2</v>
      </c>
      <c r="J213" s="1911"/>
      <c r="K213" s="1911"/>
      <c r="L213" s="1043"/>
      <c r="N213" s="1908">
        <v>927</v>
      </c>
      <c r="O213" s="1908"/>
      <c r="P213" s="1908"/>
      <c r="Q213" s="1908"/>
      <c r="R213" s="1908"/>
      <c r="T213" s="1907">
        <v>2143</v>
      </c>
      <c r="U213" s="1907"/>
      <c r="V213" s="1907"/>
      <c r="W213" s="1907"/>
      <c r="X213" s="1907"/>
      <c r="Y213" s="1907"/>
      <c r="Z213" s="885"/>
      <c r="AA213" s="885"/>
      <c r="AB213" s="1905">
        <f t="shared" ref="AB213:AB222" si="0">MAX(($T213-$N213)*$I213*12,0)</f>
        <v>29184</v>
      </c>
      <c r="AC213" s="1905"/>
      <c r="AD213" s="1905"/>
      <c r="AE213" s="1905"/>
      <c r="AF213" s="1905"/>
      <c r="AG213" s="1905"/>
      <c r="AH213" s="861"/>
      <c r="AI213" s="861"/>
      <c r="AJ213" s="861"/>
      <c r="AK213" s="644"/>
    </row>
    <row r="214" spans="1:37">
      <c r="A214" s="639"/>
      <c r="B214" s="1943" t="s">
        <v>2656</v>
      </c>
      <c r="C214" s="1943"/>
      <c r="D214" s="1943"/>
      <c r="E214" s="1943"/>
      <c r="F214" s="1943"/>
      <c r="G214" s="1943"/>
      <c r="I214" s="1911">
        <v>2</v>
      </c>
      <c r="J214" s="1911"/>
      <c r="K214" s="1911"/>
      <c r="L214" s="1043"/>
      <c r="N214" s="1908">
        <v>1100</v>
      </c>
      <c r="O214" s="1908"/>
      <c r="P214" s="1908"/>
      <c r="Q214" s="1908"/>
      <c r="R214" s="1908"/>
      <c r="T214" s="1907">
        <v>2559</v>
      </c>
      <c r="U214" s="1907"/>
      <c r="V214" s="1907"/>
      <c r="W214" s="1907"/>
      <c r="X214" s="1907"/>
      <c r="Y214" s="1907"/>
      <c r="Z214" s="885"/>
      <c r="AA214" s="885"/>
      <c r="AB214" s="1905">
        <f t="shared" si="0"/>
        <v>35016</v>
      </c>
      <c r="AC214" s="1905"/>
      <c r="AD214" s="1905"/>
      <c r="AE214" s="1905"/>
      <c r="AF214" s="1905"/>
      <c r="AG214" s="1905"/>
      <c r="AH214" s="861"/>
      <c r="AI214" s="861"/>
      <c r="AJ214" s="861"/>
      <c r="AK214" s="644"/>
    </row>
    <row r="215" spans="1:37">
      <c r="A215" s="639"/>
      <c r="B215" s="1943" t="s">
        <v>2657</v>
      </c>
      <c r="C215" s="1943"/>
      <c r="D215" s="1943"/>
      <c r="E215" s="1943"/>
      <c r="F215" s="1943"/>
      <c r="G215" s="1943"/>
      <c r="I215" s="1911">
        <v>2</v>
      </c>
      <c r="J215" s="1911"/>
      <c r="K215" s="1911"/>
      <c r="L215" s="1043"/>
      <c r="N215" s="1908">
        <v>1258</v>
      </c>
      <c r="O215" s="1908"/>
      <c r="P215" s="1908"/>
      <c r="Q215" s="1908"/>
      <c r="R215" s="1908"/>
      <c r="T215" s="1907">
        <v>3518</v>
      </c>
      <c r="U215" s="1907"/>
      <c r="V215" s="1907"/>
      <c r="W215" s="1907"/>
      <c r="X215" s="1907"/>
      <c r="Y215" s="1907"/>
      <c r="Z215" s="885"/>
      <c r="AA215" s="885"/>
      <c r="AB215" s="1905">
        <f t="shared" si="0"/>
        <v>54240</v>
      </c>
      <c r="AC215" s="1905"/>
      <c r="AD215" s="1905"/>
      <c r="AE215" s="1905"/>
      <c r="AF215" s="1905"/>
      <c r="AG215" s="1905"/>
      <c r="AH215" s="861"/>
      <c r="AI215" s="861"/>
      <c r="AJ215" s="861"/>
      <c r="AK215" s="644"/>
    </row>
    <row r="216" spans="1:37">
      <c r="A216" s="639"/>
      <c r="B216" s="1943" t="s">
        <v>2658</v>
      </c>
      <c r="C216" s="1943"/>
      <c r="D216" s="1943"/>
      <c r="E216" s="1943"/>
      <c r="F216" s="1943"/>
      <c r="G216" s="1943"/>
      <c r="I216" s="1911">
        <v>2</v>
      </c>
      <c r="J216" s="1911"/>
      <c r="K216" s="1911"/>
      <c r="L216" s="1043"/>
      <c r="N216" s="1908">
        <v>1390</v>
      </c>
      <c r="O216" s="1908"/>
      <c r="P216" s="1908"/>
      <c r="Q216" s="1908"/>
      <c r="R216" s="1908"/>
      <c r="T216" s="1907">
        <v>4102</v>
      </c>
      <c r="U216" s="1907"/>
      <c r="V216" s="1907"/>
      <c r="W216" s="1907"/>
      <c r="X216" s="1907"/>
      <c r="Y216" s="1907"/>
      <c r="Z216" s="885"/>
      <c r="AA216" s="885"/>
      <c r="AB216" s="1905">
        <f t="shared" si="0"/>
        <v>65088</v>
      </c>
      <c r="AC216" s="1905"/>
      <c r="AD216" s="1905"/>
      <c r="AE216" s="1905"/>
      <c r="AF216" s="1905"/>
      <c r="AG216" s="1905"/>
      <c r="AH216" s="861"/>
      <c r="AI216" s="861"/>
      <c r="AJ216" s="861"/>
      <c r="AK216" s="644"/>
    </row>
    <row r="217" spans="1:37">
      <c r="A217" s="639"/>
      <c r="B217" s="1943" t="s">
        <v>1290</v>
      </c>
      <c r="C217" s="1943"/>
      <c r="D217" s="1943"/>
      <c r="E217" s="1943"/>
      <c r="F217" s="1943"/>
      <c r="G217" s="1943"/>
      <c r="I217" s="1911"/>
      <c r="J217" s="1911"/>
      <c r="K217" s="1911"/>
      <c r="L217" s="1050"/>
      <c r="N217" s="1908"/>
      <c r="O217" s="1908"/>
      <c r="P217" s="1908"/>
      <c r="Q217" s="1908"/>
      <c r="R217" s="1908"/>
      <c r="T217" s="1907"/>
      <c r="U217" s="1907"/>
      <c r="V217" s="1907"/>
      <c r="W217" s="1907"/>
      <c r="X217" s="1907"/>
      <c r="Y217" s="1907"/>
      <c r="Z217" s="885"/>
      <c r="AA217" s="885"/>
      <c r="AB217" s="1905">
        <f t="shared" si="0"/>
        <v>0</v>
      </c>
      <c r="AC217" s="1905"/>
      <c r="AD217" s="1905"/>
      <c r="AE217" s="1905"/>
      <c r="AF217" s="1905"/>
      <c r="AG217" s="1905"/>
      <c r="AH217" s="861"/>
      <c r="AI217" s="861"/>
      <c r="AJ217" s="861"/>
      <c r="AK217" s="644"/>
    </row>
    <row r="218" spans="1:37">
      <c r="A218" s="639"/>
      <c r="B218" s="1943" t="s">
        <v>1290</v>
      </c>
      <c r="C218" s="1943"/>
      <c r="D218" s="1943"/>
      <c r="E218" s="1943"/>
      <c r="F218" s="1943"/>
      <c r="G218" s="1943"/>
      <c r="I218" s="1911"/>
      <c r="J218" s="1911"/>
      <c r="K218" s="1911"/>
      <c r="L218" s="1050"/>
      <c r="N218" s="1908"/>
      <c r="O218" s="1908"/>
      <c r="P218" s="1908"/>
      <c r="Q218" s="1908"/>
      <c r="R218" s="1908"/>
      <c r="T218" s="1907"/>
      <c r="U218" s="1907"/>
      <c r="V218" s="1907"/>
      <c r="W218" s="1907"/>
      <c r="X218" s="1907"/>
      <c r="Y218" s="1907"/>
      <c r="Z218" s="885"/>
      <c r="AA218" s="885"/>
      <c r="AB218" s="1905">
        <f t="shared" si="0"/>
        <v>0</v>
      </c>
      <c r="AC218" s="1905"/>
      <c r="AD218" s="1905"/>
      <c r="AE218" s="1905"/>
      <c r="AF218" s="1905"/>
      <c r="AG218" s="1905"/>
      <c r="AH218" s="861"/>
      <c r="AI218" s="861"/>
      <c r="AJ218" s="861"/>
      <c r="AK218" s="644"/>
    </row>
    <row r="219" spans="1:37">
      <c r="A219" s="639"/>
      <c r="B219" s="1943" t="s">
        <v>1290</v>
      </c>
      <c r="C219" s="1943"/>
      <c r="D219" s="1943"/>
      <c r="E219" s="1943"/>
      <c r="F219" s="1943"/>
      <c r="G219" s="1943"/>
      <c r="I219" s="1911"/>
      <c r="J219" s="1911"/>
      <c r="K219" s="1911"/>
      <c r="L219" s="1050"/>
      <c r="N219" s="1908"/>
      <c r="O219" s="1908"/>
      <c r="P219" s="1908"/>
      <c r="Q219" s="1908"/>
      <c r="R219" s="1908"/>
      <c r="T219" s="1907"/>
      <c r="U219" s="1907"/>
      <c r="V219" s="1907"/>
      <c r="W219" s="1907"/>
      <c r="X219" s="1907"/>
      <c r="Y219" s="1907"/>
      <c r="Z219" s="885"/>
      <c r="AA219" s="885"/>
      <c r="AB219" s="1905">
        <f t="shared" si="0"/>
        <v>0</v>
      </c>
      <c r="AC219" s="1905"/>
      <c r="AD219" s="1905"/>
      <c r="AE219" s="1905"/>
      <c r="AF219" s="1905"/>
      <c r="AG219" s="1905"/>
      <c r="AH219" s="861"/>
      <c r="AI219" s="861"/>
      <c r="AJ219" s="861"/>
      <c r="AK219" s="644"/>
    </row>
    <row r="220" spans="1:37">
      <c r="A220" s="639"/>
      <c r="B220" s="1943" t="s">
        <v>1290</v>
      </c>
      <c r="C220" s="1943"/>
      <c r="D220" s="1943"/>
      <c r="E220" s="1943"/>
      <c r="F220" s="1943"/>
      <c r="G220" s="1943"/>
      <c r="I220" s="1911"/>
      <c r="J220" s="1911"/>
      <c r="K220" s="1911"/>
      <c r="L220" s="1050"/>
      <c r="N220" s="1908"/>
      <c r="O220" s="1908"/>
      <c r="P220" s="1908"/>
      <c r="Q220" s="1908"/>
      <c r="R220" s="1908"/>
      <c r="T220" s="1907"/>
      <c r="U220" s="1907"/>
      <c r="V220" s="1907"/>
      <c r="W220" s="1907"/>
      <c r="X220" s="1907"/>
      <c r="Y220" s="1907"/>
      <c r="Z220" s="885"/>
      <c r="AA220" s="885"/>
      <c r="AB220" s="1905">
        <f t="shared" si="0"/>
        <v>0</v>
      </c>
      <c r="AC220" s="1905"/>
      <c r="AD220" s="1905"/>
      <c r="AE220" s="1905"/>
      <c r="AF220" s="1905"/>
      <c r="AG220" s="1905"/>
      <c r="AH220" s="861"/>
      <c r="AI220" s="861"/>
      <c r="AJ220" s="861"/>
      <c r="AK220" s="644"/>
    </row>
    <row r="221" spans="1:37">
      <c r="A221" s="639"/>
      <c r="B221" s="1943" t="s">
        <v>1290</v>
      </c>
      <c r="C221" s="1943"/>
      <c r="D221" s="1943"/>
      <c r="E221" s="1943"/>
      <c r="F221" s="1943"/>
      <c r="G221" s="1943"/>
      <c r="I221" s="1911"/>
      <c r="J221" s="1911"/>
      <c r="K221" s="1911"/>
      <c r="L221" s="1050"/>
      <c r="N221" s="1908"/>
      <c r="O221" s="1908"/>
      <c r="P221" s="1908"/>
      <c r="Q221" s="1908"/>
      <c r="R221" s="1908"/>
      <c r="T221" s="1907"/>
      <c r="U221" s="1907"/>
      <c r="V221" s="1907"/>
      <c r="W221" s="1907"/>
      <c r="X221" s="1907"/>
      <c r="Y221" s="1907"/>
      <c r="Z221" s="885"/>
      <c r="AA221" s="885"/>
      <c r="AB221" s="1905">
        <f t="shared" si="0"/>
        <v>0</v>
      </c>
      <c r="AC221" s="1905"/>
      <c r="AD221" s="1905"/>
      <c r="AE221" s="1905"/>
      <c r="AF221" s="1905"/>
      <c r="AG221" s="1905"/>
      <c r="AH221" s="861"/>
      <c r="AI221" s="861"/>
      <c r="AJ221" s="861"/>
      <c r="AK221" s="644"/>
    </row>
    <row r="222" spans="1:37">
      <c r="A222" s="639"/>
      <c r="B222" s="1943" t="s">
        <v>1290</v>
      </c>
      <c r="C222" s="1943"/>
      <c r="D222" s="1943"/>
      <c r="E222" s="1943"/>
      <c r="F222" s="1943"/>
      <c r="G222" s="1943"/>
      <c r="I222" s="2095"/>
      <c r="J222" s="2095"/>
      <c r="K222" s="2095"/>
      <c r="L222" s="1050"/>
      <c r="N222" s="1908"/>
      <c r="O222" s="1908"/>
      <c r="P222" s="1908"/>
      <c r="Q222" s="1908"/>
      <c r="R222" s="1908"/>
      <c r="T222" s="1907"/>
      <c r="U222" s="1907"/>
      <c r="V222" s="1907"/>
      <c r="W222" s="1907"/>
      <c r="X222" s="1907"/>
      <c r="Y222" s="1907"/>
      <c r="Z222" s="885"/>
      <c r="AA222" s="885"/>
      <c r="AB222" s="1912">
        <f t="shared" si="0"/>
        <v>0</v>
      </c>
      <c r="AC222" s="1912"/>
      <c r="AD222" s="1912"/>
      <c r="AE222" s="1912"/>
      <c r="AF222" s="1912"/>
      <c r="AG222" s="191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05">
        <f>SUM(AB213:AB222)</f>
        <v>183528</v>
      </c>
      <c r="AC223" s="1905"/>
      <c r="AD223" s="1905"/>
      <c r="AE223" s="1905"/>
      <c r="AF223" s="1905"/>
      <c r="AG223" s="190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5"/>
      <c r="AC229" s="1945"/>
      <c r="AD229" s="1945"/>
      <c r="AE229" s="1945"/>
      <c r="AF229" s="1945"/>
      <c r="AG229" s="1945"/>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5"/>
      <c r="AC232" s="1945"/>
      <c r="AD232" s="1945"/>
      <c r="AE232" s="1945"/>
      <c r="AF232" s="1945"/>
      <c r="AG232" s="1945"/>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4"/>
      <c r="AC233" s="1904"/>
      <c r="AD233" s="1904"/>
      <c r="AE233" s="1904"/>
      <c r="AF233" s="1904"/>
      <c r="AG233" s="1904"/>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3">
        <f>IFERROR(AB232/AB233,0)</f>
        <v>0</v>
      </c>
      <c r="AC234" s="1913"/>
      <c r="AD234" s="1913"/>
      <c r="AE234" s="1913"/>
      <c r="AF234" s="1913"/>
      <c r="AG234" s="191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2">
        <f>MAX(AB229,AB234)</f>
        <v>0</v>
      </c>
      <c r="AC236" s="1912"/>
      <c r="AD236" s="1912"/>
      <c r="AE236" s="1912"/>
      <c r="AF236" s="1912"/>
      <c r="AG236" s="191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5">
        <f>AB223+AB236</f>
        <v>183528</v>
      </c>
      <c r="AC239" s="1905"/>
      <c r="AD239" s="1905"/>
      <c r="AE239" s="1905"/>
      <c r="AF239" s="1905"/>
      <c r="AG239" s="1905"/>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9">
        <v>0.05</v>
      </c>
      <c r="AC240" s="2079"/>
      <c r="AD240" s="2079"/>
      <c r="AE240" s="2079"/>
      <c r="AF240" s="2079"/>
      <c r="AG240" s="2079"/>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0">
        <f>AB239-(AB239*AB240)</f>
        <v>174351.6</v>
      </c>
      <c r="AC241" s="2080"/>
      <c r="AD241" s="2080"/>
      <c r="AE241" s="2080"/>
      <c r="AF241" s="2080"/>
      <c r="AG241" s="2080"/>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5">
        <f>AB241/AB247</f>
        <v>151610.08695652176</v>
      </c>
      <c r="AC243" s="1905"/>
      <c r="AD243" s="1905"/>
      <c r="AE243" s="1905"/>
      <c r="AF243" s="1905"/>
      <c r="AG243" s="190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1">
        <v>15</v>
      </c>
      <c r="AC245" s="2091"/>
      <c r="AD245" s="2091"/>
      <c r="AE245" s="2091"/>
      <c r="AF245" s="2091"/>
      <c r="AG245" s="2091"/>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2">
        <v>0.04</v>
      </c>
      <c r="AC246" s="2082"/>
      <c r="AD246" s="2082"/>
      <c r="AE246" s="2082"/>
      <c r="AF246" s="2082"/>
      <c r="AG246" s="2082"/>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3">
        <v>1.1499999999999999</v>
      </c>
      <c r="AC247" s="2083"/>
      <c r="AD247" s="2083"/>
      <c r="AE247" s="2083"/>
      <c r="AF247" s="2083"/>
      <c r="AG247" s="208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2">
        <f>PV(AB246/12,AB245*12,-AB243/12, ,0)</f>
        <v>1708041.1178318399</v>
      </c>
      <c r="AC249" s="2073"/>
      <c r="AD249" s="2073"/>
      <c r="AE249" s="2073"/>
      <c r="AF249" s="2073"/>
      <c r="AG249" s="2074"/>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6">
        <f>IFERROR(('Sources and Uses Budget'!D105/'Sources and Uses Budget'!B105),0)</f>
        <v>0</v>
      </c>
      <c r="AC255" s="2077"/>
      <c r="AD255" s="2077"/>
      <c r="AE255" s="2077"/>
      <c r="AF255" s="2077"/>
      <c r="AG255" s="2078"/>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9">
        <f>AD200*(1-AB255)</f>
        <v>12365990.117831839</v>
      </c>
      <c r="AH257" s="1919"/>
      <c r="AI257" s="1919"/>
      <c r="AJ257" s="1919"/>
      <c r="AK257" s="1919"/>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9">
        <f>'Sources and Uses Budget'!C105</f>
        <v>79958261</v>
      </c>
      <c r="AH258" s="1919"/>
      <c r="AI258" s="1919"/>
      <c r="AJ258" s="1919"/>
      <c r="AK258" s="191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8">
        <f>ROUNDDOWN(IF(AND(C281="Yes",AK78=10),((AG257*2)/AG258),AG257/AG258),2)</f>
        <v>0.15</v>
      </c>
      <c r="AH259" s="2068"/>
      <c r="AI259" s="2068"/>
      <c r="AJ259" s="2068"/>
      <c r="AK259" s="2068"/>
    </row>
    <row r="260" spans="1:52">
      <c r="A260" s="656"/>
      <c r="B260" s="1013"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57">
        <f>IFERROR(IF(AG259=0,0,IF((AG259*100)&gt;8,8,(AG259*100))),0)</f>
        <v>8</v>
      </c>
      <c r="AL262" s="2057"/>
      <c r="AM262" s="2058"/>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65" customHeight="1">
      <c r="A267" s="584"/>
      <c r="B267" s="630"/>
      <c r="C267" s="1937" t="s">
        <v>553</v>
      </c>
      <c r="D267" s="1937"/>
      <c r="E267" s="581"/>
      <c r="F267" s="1888" t="s">
        <v>2336</v>
      </c>
      <c r="G267" s="1889"/>
      <c r="H267" s="1889"/>
      <c r="I267" s="1889"/>
      <c r="J267" s="1889"/>
      <c r="K267" s="1889"/>
      <c r="L267" s="1889"/>
      <c r="M267" s="1889"/>
      <c r="N267" s="1889"/>
      <c r="O267" s="1889"/>
      <c r="P267" s="1889"/>
      <c r="Q267" s="1889"/>
      <c r="R267" s="1889"/>
      <c r="S267" s="1889"/>
      <c r="T267" s="1889"/>
      <c r="U267" s="1889"/>
      <c r="V267" s="1889"/>
      <c r="W267" s="1889"/>
      <c r="X267" s="1889"/>
      <c r="Y267" s="1889"/>
      <c r="Z267" s="1889"/>
      <c r="AA267" s="1889"/>
      <c r="AB267" s="1889"/>
      <c r="AC267" s="1889"/>
      <c r="AD267" s="1890"/>
      <c r="AE267" s="584"/>
      <c r="AF267" s="669"/>
      <c r="AG267" s="2066" t="s">
        <v>1474</v>
      </c>
      <c r="AH267" s="2066"/>
      <c r="AI267" s="2066"/>
      <c r="AJ267" s="2066"/>
      <c r="AK267" s="584"/>
      <c r="AL267" s="584"/>
      <c r="AM267" s="584"/>
      <c r="AO267" s="584"/>
    </row>
    <row r="268" spans="1:52" ht="13.65" customHeight="1">
      <c r="A268" s="584"/>
      <c r="B268" s="630"/>
      <c r="C268" s="670"/>
      <c r="D268" s="584"/>
      <c r="E268" s="581"/>
      <c r="F268" s="1891"/>
      <c r="G268" s="1892"/>
      <c r="H268" s="1892"/>
      <c r="I268" s="1892"/>
      <c r="J268" s="1892"/>
      <c r="K268" s="1892"/>
      <c r="L268" s="1892"/>
      <c r="M268" s="1892"/>
      <c r="N268" s="1892"/>
      <c r="O268" s="1892"/>
      <c r="P268" s="1892"/>
      <c r="Q268" s="1892"/>
      <c r="R268" s="1892"/>
      <c r="S268" s="1892"/>
      <c r="T268" s="1892"/>
      <c r="U268" s="1892"/>
      <c r="V268" s="1892"/>
      <c r="W268" s="1892"/>
      <c r="X268" s="1892"/>
      <c r="Y268" s="1892"/>
      <c r="Z268" s="1892"/>
      <c r="AA268" s="1892"/>
      <c r="AB268" s="1892"/>
      <c r="AC268" s="1892"/>
      <c r="AD268" s="1893"/>
      <c r="AE268" s="584"/>
      <c r="AF268" s="669"/>
      <c r="AG268" s="669"/>
      <c r="AH268" s="669"/>
      <c r="AI268" s="669"/>
      <c r="AJ268" s="584"/>
      <c r="AK268" s="584"/>
      <c r="AL268" s="584"/>
      <c r="AM268" s="584"/>
      <c r="AO268" s="584"/>
    </row>
    <row r="269" spans="1:52">
      <c r="A269" s="584"/>
      <c r="B269" s="630"/>
      <c r="C269" s="670"/>
      <c r="D269" s="584"/>
      <c r="E269" s="581"/>
      <c r="F269" s="1891"/>
      <c r="G269" s="1892"/>
      <c r="H269" s="1892"/>
      <c r="I269" s="1892"/>
      <c r="J269" s="1892"/>
      <c r="K269" s="1892"/>
      <c r="L269" s="1892"/>
      <c r="M269" s="1892"/>
      <c r="N269" s="1892"/>
      <c r="O269" s="1892"/>
      <c r="P269" s="1892"/>
      <c r="Q269" s="1892"/>
      <c r="R269" s="1892"/>
      <c r="S269" s="1892"/>
      <c r="T269" s="1892"/>
      <c r="U269" s="1892"/>
      <c r="V269" s="1892"/>
      <c r="W269" s="1892"/>
      <c r="X269" s="1892"/>
      <c r="Y269" s="1892"/>
      <c r="Z269" s="1892"/>
      <c r="AA269" s="1892"/>
      <c r="AB269" s="1892"/>
      <c r="AC269" s="1892"/>
      <c r="AD269" s="1893"/>
      <c r="AE269" s="584"/>
      <c r="AF269" s="669"/>
      <c r="AG269" s="669"/>
      <c r="AH269" s="669"/>
      <c r="AI269" s="669"/>
      <c r="AJ269" s="584"/>
      <c r="AK269" s="584"/>
      <c r="AL269" s="584"/>
      <c r="AM269" s="584"/>
      <c r="AO269" s="584"/>
      <c r="AP269" s="671"/>
    </row>
    <row r="270" spans="1:52">
      <c r="A270" s="584"/>
      <c r="B270" s="630"/>
      <c r="C270" s="670"/>
      <c r="D270" s="584"/>
      <c r="E270" s="581"/>
      <c r="F270" s="1891"/>
      <c r="G270" s="1892"/>
      <c r="H270" s="1892"/>
      <c r="I270" s="1892"/>
      <c r="J270" s="1892"/>
      <c r="K270" s="1892"/>
      <c r="L270" s="1892"/>
      <c r="M270" s="1892"/>
      <c r="N270" s="1892"/>
      <c r="O270" s="1892"/>
      <c r="P270" s="1892"/>
      <c r="Q270" s="1892"/>
      <c r="R270" s="1892"/>
      <c r="S270" s="1892"/>
      <c r="T270" s="1892"/>
      <c r="U270" s="1892"/>
      <c r="V270" s="1892"/>
      <c r="W270" s="1892"/>
      <c r="X270" s="1892"/>
      <c r="Y270" s="1892"/>
      <c r="Z270" s="1892"/>
      <c r="AA270" s="1892"/>
      <c r="AB270" s="1892"/>
      <c r="AC270" s="1892"/>
      <c r="AD270" s="1893"/>
      <c r="AE270" s="584"/>
      <c r="AF270" s="669"/>
      <c r="AG270" s="669"/>
      <c r="AH270" s="669"/>
      <c r="AI270" s="669"/>
      <c r="AJ270" s="584"/>
      <c r="AK270" s="584"/>
      <c r="AL270" s="584"/>
      <c r="AM270" s="584"/>
      <c r="AO270" s="584"/>
      <c r="AP270" s="671"/>
    </row>
    <row r="271" spans="1:52" ht="13.65" customHeight="1">
      <c r="A271" s="584"/>
      <c r="B271" s="630"/>
      <c r="C271" s="2067"/>
      <c r="D271" s="2067"/>
      <c r="E271" s="581"/>
      <c r="F271" s="1894"/>
      <c r="G271" s="1895"/>
      <c r="H271" s="1895"/>
      <c r="I271" s="1895"/>
      <c r="J271" s="1895"/>
      <c r="K271" s="1895"/>
      <c r="L271" s="1895"/>
      <c r="M271" s="1895"/>
      <c r="N271" s="1895"/>
      <c r="O271" s="1895"/>
      <c r="P271" s="1895"/>
      <c r="Q271" s="1895"/>
      <c r="R271" s="1895"/>
      <c r="S271" s="1895"/>
      <c r="T271" s="1895"/>
      <c r="U271" s="1895"/>
      <c r="V271" s="1895"/>
      <c r="W271" s="1895"/>
      <c r="X271" s="1895"/>
      <c r="Y271" s="1895"/>
      <c r="Z271" s="1895"/>
      <c r="AA271" s="1895"/>
      <c r="AB271" s="1895"/>
      <c r="AC271" s="1895"/>
      <c r="AD271" s="1896"/>
      <c r="AE271" s="584"/>
      <c r="AF271" s="669"/>
      <c r="AG271" s="2066"/>
      <c r="AH271" s="2066"/>
      <c r="AI271" s="2066"/>
      <c r="AJ271" s="2066"/>
      <c r="AK271" s="584"/>
      <c r="AL271" s="584"/>
      <c r="AM271" s="584"/>
    </row>
    <row r="272" spans="1:52" ht="13.6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57">
        <f>IF($C$267="yes",10,0)</f>
        <v>10</v>
      </c>
      <c r="AL274" s="2057"/>
      <c r="AM274" s="2058"/>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2042</v>
      </c>
      <c r="AH277" s="625" t="s">
        <v>1425</v>
      </c>
    </row>
    <row r="278" spans="1:49" ht="15" customHeight="1">
      <c r="B278" s="573"/>
    </row>
    <row r="279" spans="1:49" ht="15" customHeight="1">
      <c r="B279" s="573" t="s">
        <v>1915</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6" t="s">
        <v>1493</v>
      </c>
      <c r="B281" s="1616"/>
      <c r="C281" s="2031" t="s">
        <v>599</v>
      </c>
      <c r="D281" s="1937"/>
      <c r="E281" s="581"/>
      <c r="F281" s="2059" t="s">
        <v>1494</v>
      </c>
      <c r="G281" s="2060"/>
      <c r="H281" s="2060"/>
      <c r="I281" s="2060"/>
      <c r="J281" s="2060"/>
      <c r="K281" s="2060"/>
      <c r="L281" s="2060"/>
      <c r="M281" s="2060"/>
      <c r="N281" s="2060"/>
      <c r="O281" s="2060"/>
      <c r="P281" s="2060"/>
      <c r="Q281" s="2060"/>
      <c r="R281" s="2060"/>
      <c r="S281" s="2060"/>
      <c r="T281" s="2060"/>
      <c r="U281" s="2060"/>
      <c r="V281" s="2060"/>
      <c r="W281" s="2060"/>
      <c r="X281" s="2060"/>
      <c r="Y281" s="2060"/>
      <c r="Z281" s="2060"/>
      <c r="AA281" s="2060"/>
      <c r="AB281" s="2060"/>
      <c r="AC281" s="2060"/>
      <c r="AD281" s="2061"/>
      <c r="AE281" s="676"/>
      <c r="AF281" s="584"/>
      <c r="AG281" s="2062" t="s">
        <v>2329</v>
      </c>
      <c r="AH281" s="2062"/>
      <c r="AI281" s="2062"/>
      <c r="AJ281" s="2062"/>
      <c r="AK281" s="2062"/>
      <c r="AL281" s="584"/>
      <c r="AM281" s="584"/>
      <c r="AN281" s="73"/>
      <c r="AO281" s="14"/>
      <c r="AP281" s="30"/>
      <c r="AS281" s="604"/>
      <c r="AT281" s="604"/>
      <c r="AU281" s="604"/>
      <c r="AV281" s="32"/>
      <c r="AW281" s="32"/>
    </row>
    <row r="282" spans="1:49">
      <c r="A282" s="674"/>
      <c r="B282" s="630"/>
      <c r="F282" s="1914"/>
      <c r="G282" s="1915"/>
      <c r="H282" s="1915"/>
      <c r="I282" s="1915"/>
      <c r="J282" s="1915"/>
      <c r="K282" s="1915"/>
      <c r="L282" s="1915"/>
      <c r="M282" s="1915"/>
      <c r="N282" s="1915"/>
      <c r="O282" s="1915"/>
      <c r="P282" s="1915"/>
      <c r="Q282" s="1915"/>
      <c r="R282" s="1915"/>
      <c r="S282" s="1915"/>
      <c r="T282" s="1915"/>
      <c r="U282" s="1915"/>
      <c r="V282" s="1915"/>
      <c r="W282" s="1915"/>
      <c r="X282" s="1915"/>
      <c r="Y282" s="1915"/>
      <c r="Z282" s="1915"/>
      <c r="AA282" s="1915"/>
      <c r="AB282" s="1915"/>
      <c r="AC282" s="1915"/>
      <c r="AD282" s="191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4"/>
      <c r="G283" s="1915"/>
      <c r="H283" s="1915"/>
      <c r="I283" s="1915"/>
      <c r="J283" s="1915"/>
      <c r="K283" s="1915"/>
      <c r="L283" s="1915"/>
      <c r="M283" s="1915"/>
      <c r="N283" s="1915"/>
      <c r="O283" s="1915"/>
      <c r="P283" s="1915"/>
      <c r="Q283" s="1915"/>
      <c r="R283" s="1915"/>
      <c r="S283" s="1915"/>
      <c r="T283" s="1915"/>
      <c r="U283" s="1915"/>
      <c r="V283" s="1915"/>
      <c r="W283" s="1915"/>
      <c r="X283" s="1915"/>
      <c r="Y283" s="1915"/>
      <c r="Z283" s="1915"/>
      <c r="AA283" s="1915"/>
      <c r="AB283" s="1915"/>
      <c r="AC283" s="1915"/>
      <c r="AD283" s="1916"/>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4" t="s">
        <v>2337</v>
      </c>
      <c r="G284" s="1915"/>
      <c r="H284" s="1915"/>
      <c r="I284" s="1915"/>
      <c r="J284" s="1915"/>
      <c r="K284" s="1915"/>
      <c r="L284" s="1915"/>
      <c r="M284" s="1915"/>
      <c r="N284" s="1915"/>
      <c r="O284" s="1915"/>
      <c r="P284" s="1915"/>
      <c r="Q284" s="1915"/>
      <c r="R284" s="1915"/>
      <c r="S284" s="1915"/>
      <c r="T284" s="1915"/>
      <c r="U284" s="1915"/>
      <c r="V284" s="1915"/>
      <c r="W284" s="1915"/>
      <c r="X284" s="1915"/>
      <c r="Y284" s="1915"/>
      <c r="Z284" s="1915"/>
      <c r="AA284" s="1915"/>
      <c r="AB284" s="1915"/>
      <c r="AC284" s="1915"/>
      <c r="AD284" s="1916"/>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14"/>
      <c r="G285" s="1915"/>
      <c r="H285" s="1915"/>
      <c r="I285" s="1915"/>
      <c r="J285" s="1915"/>
      <c r="K285" s="1915"/>
      <c r="L285" s="1915"/>
      <c r="M285" s="1915"/>
      <c r="N285" s="1915"/>
      <c r="O285" s="1915"/>
      <c r="P285" s="1915"/>
      <c r="Q285" s="1915"/>
      <c r="R285" s="1915"/>
      <c r="S285" s="1915"/>
      <c r="T285" s="1915"/>
      <c r="U285" s="1915"/>
      <c r="V285" s="1915"/>
      <c r="W285" s="1915"/>
      <c r="X285" s="1915"/>
      <c r="Y285" s="1915"/>
      <c r="Z285" s="1915"/>
      <c r="AA285" s="1915"/>
      <c r="AB285" s="1915"/>
      <c r="AC285" s="1915"/>
      <c r="AD285" s="191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4" t="s">
        <v>1495</v>
      </c>
      <c r="G286" s="1915"/>
      <c r="H286" s="1915"/>
      <c r="I286" s="1915"/>
      <c r="J286" s="1915"/>
      <c r="K286" s="1915"/>
      <c r="L286" s="1915"/>
      <c r="M286" s="1915"/>
      <c r="N286" s="1915"/>
      <c r="O286" s="1915"/>
      <c r="P286" s="1915"/>
      <c r="Q286" s="1915"/>
      <c r="R286" s="1915"/>
      <c r="S286" s="1915"/>
      <c r="T286" s="1915"/>
      <c r="U286" s="1915"/>
      <c r="V286" s="1915"/>
      <c r="W286" s="1915"/>
      <c r="X286" s="1915"/>
      <c r="Y286" s="1915"/>
      <c r="Z286" s="1915"/>
      <c r="AA286" s="1915"/>
      <c r="AB286" s="1915"/>
      <c r="AC286" s="1915"/>
      <c r="AD286" s="191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4"/>
      <c r="G287" s="1915"/>
      <c r="H287" s="1915"/>
      <c r="I287" s="1915"/>
      <c r="J287" s="1915"/>
      <c r="K287" s="1915"/>
      <c r="L287" s="1915"/>
      <c r="M287" s="1915"/>
      <c r="N287" s="1915"/>
      <c r="O287" s="1915"/>
      <c r="P287" s="1915"/>
      <c r="Q287" s="1915"/>
      <c r="R287" s="1915"/>
      <c r="S287" s="1915"/>
      <c r="T287" s="1915"/>
      <c r="U287" s="1915"/>
      <c r="V287" s="1915"/>
      <c r="W287" s="1915"/>
      <c r="X287" s="1915"/>
      <c r="Y287" s="1915"/>
      <c r="Z287" s="1915"/>
      <c r="AA287" s="1915"/>
      <c r="AB287" s="1915"/>
      <c r="AC287" s="1915"/>
      <c r="AD287" s="191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4" t="s">
        <v>1496</v>
      </c>
      <c r="G288" s="1915"/>
      <c r="H288" s="1915"/>
      <c r="I288" s="1915"/>
      <c r="J288" s="1915"/>
      <c r="K288" s="1915"/>
      <c r="L288" s="1915"/>
      <c r="M288" s="1915"/>
      <c r="N288" s="1915"/>
      <c r="O288" s="1915"/>
      <c r="P288" s="1915"/>
      <c r="Q288" s="1915"/>
      <c r="R288" s="1915"/>
      <c r="S288" s="1915"/>
      <c r="T288" s="1915"/>
      <c r="U288" s="1915"/>
      <c r="V288" s="1915"/>
      <c r="W288" s="1915"/>
      <c r="X288" s="1915"/>
      <c r="Y288" s="1915"/>
      <c r="Z288" s="1915"/>
      <c r="AA288" s="1915"/>
      <c r="AB288" s="1915"/>
      <c r="AC288" s="1915"/>
      <c r="AD288" s="191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7"/>
      <c r="G289" s="1918"/>
      <c r="H289" s="1918"/>
      <c r="I289" s="1918"/>
      <c r="J289" s="1918"/>
      <c r="K289" s="1918"/>
      <c r="L289" s="1918"/>
      <c r="M289" s="1918"/>
      <c r="N289" s="1918"/>
      <c r="O289" s="1918"/>
      <c r="P289" s="1918"/>
      <c r="Q289" s="1918"/>
      <c r="R289" s="1918"/>
      <c r="S289" s="1918"/>
      <c r="T289" s="1918"/>
      <c r="U289" s="1918"/>
      <c r="V289" s="1918"/>
      <c r="W289" s="1918"/>
      <c r="X289" s="1918"/>
      <c r="Y289" s="1918"/>
      <c r="Z289" s="1918"/>
      <c r="AA289" s="1918"/>
      <c r="AB289" s="1918"/>
      <c r="AC289" s="1918"/>
      <c r="AD289" s="205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6" t="s">
        <v>1497</v>
      </c>
      <c r="B291" s="1616"/>
      <c r="C291" s="1937" t="s">
        <v>553</v>
      </c>
      <c r="D291" s="1937"/>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41" t="s">
        <v>2331</v>
      </c>
      <c r="G292" s="2042"/>
      <c r="H292" s="2042"/>
      <c r="I292" s="2042"/>
      <c r="J292" s="2042"/>
      <c r="K292" s="2042"/>
      <c r="L292" s="2042"/>
      <c r="M292" s="2042"/>
      <c r="N292" s="2042"/>
      <c r="O292" s="2042"/>
      <c r="P292" s="2042"/>
      <c r="Q292" s="2042"/>
      <c r="R292" s="2042"/>
      <c r="S292" s="2042"/>
      <c r="T292" s="2042"/>
      <c r="U292" s="2042"/>
      <c r="V292" s="2042"/>
      <c r="W292" s="2042"/>
      <c r="X292" s="2042"/>
      <c r="Y292" s="2042"/>
      <c r="Z292" s="2042"/>
      <c r="AA292" s="2042"/>
      <c r="AB292" s="2042"/>
      <c r="AC292" s="2042"/>
      <c r="AD292" s="2043"/>
      <c r="AE292" s="585"/>
      <c r="AF292" s="585"/>
      <c r="AG292" s="585"/>
      <c r="AH292" s="585"/>
      <c r="AI292" s="585"/>
      <c r="AJ292" s="584"/>
      <c r="AK292" s="584"/>
      <c r="AL292" s="584"/>
      <c r="AM292" s="584"/>
      <c r="AR292" s="682"/>
    </row>
    <row r="293" spans="1:49" ht="15" customHeight="1">
      <c r="A293" s="584"/>
      <c r="B293" s="585"/>
      <c r="C293" s="584"/>
      <c r="D293" s="585"/>
      <c r="E293" s="584"/>
      <c r="F293" s="2041"/>
      <c r="G293" s="2042"/>
      <c r="H293" s="2042"/>
      <c r="I293" s="2042"/>
      <c r="J293" s="2042"/>
      <c r="K293" s="2042"/>
      <c r="L293" s="2042"/>
      <c r="M293" s="2042"/>
      <c r="N293" s="2042"/>
      <c r="O293" s="2042"/>
      <c r="P293" s="2042"/>
      <c r="Q293" s="2042"/>
      <c r="R293" s="2042"/>
      <c r="S293" s="2042"/>
      <c r="T293" s="2042"/>
      <c r="U293" s="2042"/>
      <c r="V293" s="2042"/>
      <c r="W293" s="2042"/>
      <c r="X293" s="2042"/>
      <c r="Y293" s="2042"/>
      <c r="Z293" s="2042"/>
      <c r="AA293" s="2042"/>
      <c r="AB293" s="2042"/>
      <c r="AC293" s="2042"/>
      <c r="AD293" s="2043"/>
      <c r="AE293" s="585"/>
      <c r="AF293" s="585"/>
      <c r="AG293" s="585"/>
      <c r="AH293" s="585"/>
      <c r="AI293" s="585"/>
      <c r="AJ293" s="584"/>
      <c r="AK293" s="584"/>
      <c r="AL293" s="584"/>
      <c r="AM293" s="584"/>
      <c r="AR293" s="682"/>
    </row>
    <row r="294" spans="1:49">
      <c r="A294" s="584"/>
      <c r="B294" s="585"/>
      <c r="C294" s="584"/>
      <c r="D294" s="585"/>
      <c r="E294" s="584"/>
      <c r="F294" s="2041"/>
      <c r="G294" s="2042"/>
      <c r="H294" s="2042"/>
      <c r="I294" s="2042"/>
      <c r="J294" s="2042"/>
      <c r="K294" s="2042"/>
      <c r="L294" s="2042"/>
      <c r="M294" s="2042"/>
      <c r="N294" s="2042"/>
      <c r="O294" s="2042"/>
      <c r="P294" s="2042"/>
      <c r="Q294" s="2042"/>
      <c r="R294" s="2042"/>
      <c r="S294" s="2042"/>
      <c r="T294" s="2042"/>
      <c r="U294" s="2042"/>
      <c r="V294" s="2042"/>
      <c r="W294" s="2042"/>
      <c r="X294" s="2042"/>
      <c r="Y294" s="2042"/>
      <c r="Z294" s="2042"/>
      <c r="AA294" s="2042"/>
      <c r="AB294" s="2042"/>
      <c r="AC294" s="2042"/>
      <c r="AD294" s="204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3"/>
      <c r="G295" s="2064"/>
      <c r="H295" s="2064"/>
      <c r="I295" s="2064"/>
      <c r="J295" s="2064"/>
      <c r="K295" s="2064"/>
      <c r="L295" s="2064"/>
      <c r="M295" s="2064"/>
      <c r="N295" s="2064"/>
      <c r="O295" s="2064"/>
      <c r="P295" s="2064"/>
      <c r="Q295" s="2064"/>
      <c r="R295" s="2064"/>
      <c r="S295" s="2064"/>
      <c r="T295" s="2064"/>
      <c r="U295" s="2064"/>
      <c r="V295" s="2064"/>
      <c r="W295" s="2064"/>
      <c r="X295" s="2064"/>
      <c r="Y295" s="2064"/>
      <c r="Z295" s="2064"/>
      <c r="AA295" s="2064"/>
      <c r="AB295" s="2064"/>
      <c r="AC295" s="2064"/>
      <c r="AD295" s="206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6" t="s">
        <v>1500</v>
      </c>
      <c r="B299" s="1616"/>
      <c r="C299" s="1937" t="s">
        <v>599</v>
      </c>
      <c r="D299" s="1937"/>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14" t="s">
        <v>2338</v>
      </c>
      <c r="G300" s="1915"/>
      <c r="H300" s="1915"/>
      <c r="I300" s="1915"/>
      <c r="J300" s="1915"/>
      <c r="K300" s="1915"/>
      <c r="L300" s="1915"/>
      <c r="M300" s="1915"/>
      <c r="N300" s="1915"/>
      <c r="O300" s="1915"/>
      <c r="P300" s="1915"/>
      <c r="Q300" s="1915"/>
      <c r="R300" s="1915"/>
      <c r="S300" s="1915"/>
      <c r="T300" s="1915"/>
      <c r="U300" s="1915"/>
      <c r="V300" s="1915"/>
      <c r="W300" s="1915"/>
      <c r="X300" s="1915"/>
      <c r="Y300" s="1915"/>
      <c r="Z300" s="1915"/>
      <c r="AA300" s="1915"/>
      <c r="AB300" s="1915"/>
      <c r="AC300" s="1915"/>
      <c r="AD300" s="1916"/>
      <c r="AE300" s="585"/>
      <c r="AF300" s="585"/>
      <c r="AG300" s="573"/>
      <c r="AH300" s="585"/>
      <c r="AI300" s="585"/>
      <c r="AJ300" s="584"/>
      <c r="AK300" s="584"/>
      <c r="AL300" s="584"/>
      <c r="AM300" s="584"/>
      <c r="AN300" s="73"/>
      <c r="AO300" s="14"/>
      <c r="AP300" s="591" t="s">
        <v>1290</v>
      </c>
    </row>
    <row r="301" spans="1:49" hidden="1">
      <c r="F301" s="1914"/>
      <c r="G301" s="1915"/>
      <c r="H301" s="1915"/>
      <c r="I301" s="1915"/>
      <c r="J301" s="1915"/>
      <c r="K301" s="1915"/>
      <c r="L301" s="1915"/>
      <c r="M301" s="1915"/>
      <c r="N301" s="1915"/>
      <c r="O301" s="1915"/>
      <c r="P301" s="1915"/>
      <c r="Q301" s="1915"/>
      <c r="R301" s="1915"/>
      <c r="S301" s="1915"/>
      <c r="T301" s="1915"/>
      <c r="U301" s="1915"/>
      <c r="V301" s="1915"/>
      <c r="W301" s="1915"/>
      <c r="X301" s="1915"/>
      <c r="Y301" s="1915"/>
      <c r="Z301" s="1915"/>
      <c r="AA301" s="1915"/>
      <c r="AB301" s="1915"/>
      <c r="AC301" s="1915"/>
      <c r="AD301" s="1916"/>
      <c r="AE301" s="585"/>
      <c r="AF301" s="585"/>
      <c r="AH301" s="585"/>
      <c r="AI301" s="585"/>
      <c r="AJ301" s="584"/>
      <c r="AK301" s="584"/>
      <c r="AL301" s="584"/>
      <c r="AM301" s="584"/>
      <c r="AN301" s="73"/>
      <c r="AO301" s="14"/>
      <c r="AP301" s="591" t="s">
        <v>1917</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1919</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2044</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4" t="s">
        <v>1290</v>
      </c>
      <c r="G305" s="2045"/>
      <c r="H305" s="2045"/>
      <c r="I305" s="2045"/>
      <c r="J305" s="2045"/>
      <c r="K305" s="2045"/>
      <c r="L305" s="2045"/>
      <c r="M305" s="2045"/>
      <c r="N305" s="2045"/>
      <c r="O305" s="2045"/>
      <c r="P305" s="2045"/>
      <c r="Q305" s="2045"/>
      <c r="R305" s="2045"/>
      <c r="S305" s="2045"/>
      <c r="T305" s="2045"/>
      <c r="U305" s="2045"/>
      <c r="V305" s="2045"/>
      <c r="W305" s="2045"/>
      <c r="X305" s="2045"/>
      <c r="Y305" s="2045"/>
      <c r="Z305" s="2045"/>
      <c r="AA305" s="2045"/>
      <c r="AB305" s="2045"/>
      <c r="AC305" s="2045"/>
      <c r="AD305" s="2046"/>
      <c r="AE305" s="676"/>
      <c r="AF305" s="676"/>
      <c r="AG305" s="676"/>
      <c r="AH305" s="676"/>
      <c r="AI305" s="676"/>
      <c r="AJ305" s="676"/>
      <c r="AK305" s="676"/>
      <c r="AL305" s="584"/>
      <c r="AM305" s="584"/>
      <c r="AN305" s="73"/>
      <c r="AO305" s="14"/>
      <c r="AP305" s="30"/>
    </row>
    <row r="306" spans="1:42" hidden="1">
      <c r="A306" s="584"/>
      <c r="B306" s="585"/>
      <c r="C306" s="764"/>
      <c r="D306" s="764"/>
      <c r="E306" s="581"/>
      <c r="F306" s="2044"/>
      <c r="G306" s="2045"/>
      <c r="H306" s="2045"/>
      <c r="I306" s="2045"/>
      <c r="J306" s="2045"/>
      <c r="K306" s="2045"/>
      <c r="L306" s="2045"/>
      <c r="M306" s="2045"/>
      <c r="N306" s="2045"/>
      <c r="O306" s="2045"/>
      <c r="P306" s="2045"/>
      <c r="Q306" s="2045"/>
      <c r="R306" s="2045"/>
      <c r="S306" s="2045"/>
      <c r="T306" s="2045"/>
      <c r="U306" s="2045"/>
      <c r="V306" s="2045"/>
      <c r="W306" s="2045"/>
      <c r="X306" s="2045"/>
      <c r="Y306" s="2045"/>
      <c r="Z306" s="2045"/>
      <c r="AA306" s="2045"/>
      <c r="AB306" s="2045"/>
      <c r="AC306" s="2045"/>
      <c r="AD306" s="2046"/>
      <c r="AE306" s="585"/>
      <c r="AF306" s="585"/>
      <c r="AG306" s="573"/>
      <c r="AH306" s="585"/>
      <c r="AI306" s="585"/>
      <c r="AJ306" s="584"/>
      <c r="AK306" s="584"/>
      <c r="AL306" s="584"/>
      <c r="AM306" s="584"/>
      <c r="AN306" s="73"/>
      <c r="AO306" s="14"/>
      <c r="AP306" s="30"/>
    </row>
    <row r="307" spans="1:42" hidden="1">
      <c r="A307" s="584"/>
      <c r="B307" s="585"/>
      <c r="C307" s="764"/>
      <c r="D307" s="764"/>
      <c r="E307" s="581"/>
      <c r="F307" s="2044"/>
      <c r="G307" s="2045"/>
      <c r="H307" s="2045"/>
      <c r="I307" s="2045"/>
      <c r="J307" s="2045"/>
      <c r="K307" s="2045"/>
      <c r="L307" s="2045"/>
      <c r="M307" s="2045"/>
      <c r="N307" s="2045"/>
      <c r="O307" s="2045"/>
      <c r="P307" s="2045"/>
      <c r="Q307" s="2045"/>
      <c r="R307" s="2045"/>
      <c r="S307" s="2045"/>
      <c r="T307" s="2045"/>
      <c r="U307" s="2045"/>
      <c r="V307" s="2045"/>
      <c r="W307" s="2045"/>
      <c r="X307" s="2045"/>
      <c r="Y307" s="2045"/>
      <c r="Z307" s="2045"/>
      <c r="AA307" s="2045"/>
      <c r="AB307" s="2045"/>
      <c r="AC307" s="2045"/>
      <c r="AD307" s="2046"/>
      <c r="AE307" s="585"/>
      <c r="AF307" s="585"/>
      <c r="AG307" s="573"/>
      <c r="AH307" s="585"/>
      <c r="AI307" s="585"/>
      <c r="AJ307" s="584"/>
      <c r="AK307" s="584"/>
      <c r="AL307" s="584"/>
      <c r="AM307" s="584"/>
      <c r="AN307" s="73"/>
      <c r="AO307" s="14"/>
      <c r="AP307" s="30"/>
    </row>
    <row r="308" spans="1:42" hidden="1">
      <c r="A308" s="584"/>
      <c r="B308" s="585"/>
      <c r="C308" s="764"/>
      <c r="D308" s="764"/>
      <c r="E308" s="581"/>
      <c r="F308" s="2044"/>
      <c r="G308" s="2045"/>
      <c r="H308" s="2045"/>
      <c r="I308" s="2045"/>
      <c r="J308" s="2045"/>
      <c r="K308" s="2045"/>
      <c r="L308" s="2045"/>
      <c r="M308" s="2045"/>
      <c r="N308" s="2045"/>
      <c r="O308" s="2045"/>
      <c r="P308" s="2045"/>
      <c r="Q308" s="2045"/>
      <c r="R308" s="2045"/>
      <c r="S308" s="2045"/>
      <c r="T308" s="2045"/>
      <c r="U308" s="2045"/>
      <c r="V308" s="2045"/>
      <c r="W308" s="2045"/>
      <c r="X308" s="2045"/>
      <c r="Y308" s="2045"/>
      <c r="Z308" s="2045"/>
      <c r="AA308" s="2045"/>
      <c r="AB308" s="2045"/>
      <c r="AC308" s="2045"/>
      <c r="AD308" s="2046"/>
      <c r="AE308" s="585"/>
      <c r="AF308" s="585"/>
      <c r="AG308" s="573"/>
      <c r="AH308" s="585"/>
      <c r="AI308" s="585"/>
      <c r="AJ308" s="584"/>
      <c r="AK308" s="584"/>
      <c r="AL308" s="584"/>
      <c r="AM308" s="584"/>
      <c r="AN308" s="73"/>
      <c r="AO308" s="14"/>
      <c r="AP308" s="30"/>
    </row>
    <row r="309" spans="1:42" hidden="1">
      <c r="A309" s="584"/>
      <c r="B309" s="585"/>
      <c r="C309" s="764"/>
      <c r="D309" s="764"/>
      <c r="E309" s="581"/>
      <c r="F309" s="2047"/>
      <c r="G309" s="2048"/>
      <c r="H309" s="2048"/>
      <c r="I309" s="2048"/>
      <c r="J309" s="2048"/>
      <c r="K309" s="2048"/>
      <c r="L309" s="2048"/>
      <c r="M309" s="2048"/>
      <c r="N309" s="2048"/>
      <c r="O309" s="2048"/>
      <c r="P309" s="2048"/>
      <c r="Q309" s="2048"/>
      <c r="R309" s="2048"/>
      <c r="S309" s="2048"/>
      <c r="T309" s="2048"/>
      <c r="U309" s="2048"/>
      <c r="V309" s="2048"/>
      <c r="W309" s="2048"/>
      <c r="X309" s="2048"/>
      <c r="Y309" s="2048"/>
      <c r="Z309" s="2048"/>
      <c r="AA309" s="2048"/>
      <c r="AB309" s="2048"/>
      <c r="AC309" s="2048"/>
      <c r="AD309" s="204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50" t="s">
        <v>1290</v>
      </c>
      <c r="J313" s="2050"/>
      <c r="K313" s="2050"/>
      <c r="L313" s="2050"/>
      <c r="M313" s="2050"/>
      <c r="N313" s="2050"/>
      <c r="O313" s="2050"/>
      <c r="P313" s="2050"/>
      <c r="Q313" s="2050"/>
      <c r="R313" s="2050"/>
      <c r="S313" s="2050"/>
      <c r="T313" s="2050"/>
      <c r="U313" s="2050"/>
      <c r="V313" s="2050"/>
      <c r="W313" s="2050"/>
      <c r="X313" s="2050"/>
      <c r="Y313" s="2050"/>
      <c r="Z313" s="2050"/>
      <c r="AA313" s="2050"/>
      <c r="AB313" s="2050"/>
      <c r="AC313" s="2050"/>
      <c r="AD313" s="2051"/>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50"/>
      <c r="J314" s="2050"/>
      <c r="K314" s="2050"/>
      <c r="L314" s="2050"/>
      <c r="M314" s="2050"/>
      <c r="N314" s="2050"/>
      <c r="O314" s="2050"/>
      <c r="P314" s="2050"/>
      <c r="Q314" s="2050"/>
      <c r="R314" s="2050"/>
      <c r="S314" s="2050"/>
      <c r="T314" s="2050"/>
      <c r="U314" s="2050"/>
      <c r="V314" s="2050"/>
      <c r="W314" s="2050"/>
      <c r="X314" s="2050"/>
      <c r="Y314" s="2050"/>
      <c r="Z314" s="2050"/>
      <c r="AA314" s="2050"/>
      <c r="AB314" s="2050"/>
      <c r="AC314" s="2050"/>
      <c r="AD314" s="2051"/>
      <c r="AE314" s="585"/>
      <c r="AF314" s="585"/>
      <c r="AG314" s="573"/>
      <c r="AH314" s="585"/>
      <c r="AI314" s="585"/>
      <c r="AJ314" s="584"/>
      <c r="AK314" s="584"/>
      <c r="AL314" s="584"/>
      <c r="AM314" s="584"/>
      <c r="AN314" s="73"/>
      <c r="AO314" s="14"/>
      <c r="AP314" s="591" t="s">
        <v>1920</v>
      </c>
    </row>
    <row r="315" spans="1:42" hidden="1">
      <c r="A315" s="584"/>
      <c r="B315" s="585"/>
      <c r="C315" s="685"/>
      <c r="D315" s="685"/>
      <c r="E315" s="581"/>
      <c r="F315" s="690"/>
      <c r="G315" s="609"/>
      <c r="H315" s="609"/>
      <c r="I315" s="2050"/>
      <c r="J315" s="2050"/>
      <c r="K315" s="2050"/>
      <c r="L315" s="2050"/>
      <c r="M315" s="2050"/>
      <c r="N315" s="2050"/>
      <c r="O315" s="2050"/>
      <c r="P315" s="2050"/>
      <c r="Q315" s="2050"/>
      <c r="R315" s="2050"/>
      <c r="S315" s="2050"/>
      <c r="T315" s="2050"/>
      <c r="U315" s="2050"/>
      <c r="V315" s="2050"/>
      <c r="W315" s="2050"/>
      <c r="X315" s="2050"/>
      <c r="Y315" s="2050"/>
      <c r="Z315" s="2050"/>
      <c r="AA315" s="2050"/>
      <c r="AB315" s="2050"/>
      <c r="AC315" s="2050"/>
      <c r="AD315" s="2051"/>
      <c r="AE315" s="585"/>
      <c r="AF315" s="585"/>
      <c r="AG315" s="573"/>
      <c r="AH315" s="585"/>
      <c r="AI315" s="585"/>
      <c r="AJ315" s="584"/>
      <c r="AK315" s="584"/>
      <c r="AL315" s="584"/>
      <c r="AM315" s="584"/>
      <c r="AN315" s="73"/>
      <c r="AO315" s="14"/>
      <c r="AP315" s="591" t="s">
        <v>1922</v>
      </c>
    </row>
    <row r="316" spans="1:42" hidden="1">
      <c r="A316" s="584"/>
      <c r="B316" s="585"/>
      <c r="C316" s="685"/>
      <c r="D316" s="685"/>
      <c r="E316" s="581"/>
      <c r="F316" s="688"/>
      <c r="G316" s="585"/>
      <c r="H316" s="585"/>
      <c r="I316" s="2052"/>
      <c r="J316" s="2052"/>
      <c r="K316" s="2052"/>
      <c r="L316" s="2052"/>
      <c r="M316" s="2052"/>
      <c r="N316" s="2052"/>
      <c r="O316" s="2052"/>
      <c r="P316" s="2052"/>
      <c r="Q316" s="2052"/>
      <c r="R316" s="2052"/>
      <c r="S316" s="2052"/>
      <c r="T316" s="2052"/>
      <c r="U316" s="2052"/>
      <c r="V316" s="2052"/>
      <c r="W316" s="2052"/>
      <c r="X316" s="2052"/>
      <c r="Y316" s="2052"/>
      <c r="Z316" s="2052"/>
      <c r="AA316" s="2052"/>
      <c r="AB316" s="2052"/>
      <c r="AC316" s="2052"/>
      <c r="AD316" s="2053"/>
      <c r="AE316" s="585"/>
      <c r="AF316" s="585"/>
      <c r="AG316" s="573"/>
      <c r="AH316" s="585"/>
      <c r="AI316" s="585"/>
      <c r="AJ316" s="584"/>
      <c r="AK316" s="584"/>
      <c r="AL316" s="584"/>
      <c r="AM316" s="584"/>
      <c r="AN316" s="73"/>
      <c r="AO316" s="14"/>
      <c r="AP316" s="591" t="s">
        <v>1921</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50" t="s">
        <v>1290</v>
      </c>
      <c r="J318" s="2050"/>
      <c r="K318" s="2050"/>
      <c r="L318" s="2050"/>
      <c r="M318" s="2050"/>
      <c r="N318" s="2050"/>
      <c r="O318" s="2050"/>
      <c r="P318" s="2050"/>
      <c r="Q318" s="2050"/>
      <c r="R318" s="2050"/>
      <c r="S318" s="2050"/>
      <c r="T318" s="2050"/>
      <c r="U318" s="2050"/>
      <c r="V318" s="2050"/>
      <c r="W318" s="2050"/>
      <c r="X318" s="2050"/>
      <c r="Y318" s="2050"/>
      <c r="Z318" s="2050"/>
      <c r="AA318" s="2050"/>
      <c r="AB318" s="2050"/>
      <c r="AC318" s="2050"/>
      <c r="AD318" s="205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0"/>
      <c r="J319" s="2050"/>
      <c r="K319" s="2050"/>
      <c r="L319" s="2050"/>
      <c r="M319" s="2050"/>
      <c r="N319" s="2050"/>
      <c r="O319" s="2050"/>
      <c r="P319" s="2050"/>
      <c r="Q319" s="2050"/>
      <c r="R319" s="2050"/>
      <c r="S319" s="2050"/>
      <c r="T319" s="2050"/>
      <c r="U319" s="2050"/>
      <c r="V319" s="2050"/>
      <c r="W319" s="2050"/>
      <c r="X319" s="2050"/>
      <c r="Y319" s="2050"/>
      <c r="Z319" s="2050"/>
      <c r="AA319" s="2050"/>
      <c r="AB319" s="2050"/>
      <c r="AC319" s="2050"/>
      <c r="AD319" s="2051"/>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52"/>
      <c r="J320" s="2052"/>
      <c r="K320" s="2052"/>
      <c r="L320" s="2052"/>
      <c r="M320" s="2052"/>
      <c r="N320" s="2052"/>
      <c r="O320" s="2052"/>
      <c r="P320" s="2052"/>
      <c r="Q320" s="2052"/>
      <c r="R320" s="2052"/>
      <c r="S320" s="2052"/>
      <c r="T320" s="2052"/>
      <c r="U320" s="2052"/>
      <c r="V320" s="2052"/>
      <c r="W320" s="2052"/>
      <c r="X320" s="2052"/>
      <c r="Y320" s="2052"/>
      <c r="Z320" s="2052"/>
      <c r="AA320" s="2052"/>
      <c r="AB320" s="2052"/>
      <c r="AC320" s="2052"/>
      <c r="AD320" s="2053"/>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16" t="s">
        <v>1503</v>
      </c>
      <c r="B322" s="1616"/>
      <c r="C322" s="1937" t="s">
        <v>599</v>
      </c>
      <c r="D322" s="1937"/>
      <c r="E322" s="581"/>
      <c r="F322" s="2038" t="s">
        <v>2339</v>
      </c>
      <c r="G322" s="2039"/>
      <c r="H322" s="2039"/>
      <c r="I322" s="2039"/>
      <c r="J322" s="2039"/>
      <c r="K322" s="2039"/>
      <c r="L322" s="2039"/>
      <c r="M322" s="2039"/>
      <c r="N322" s="2039"/>
      <c r="O322" s="2039"/>
      <c r="P322" s="2039"/>
      <c r="Q322" s="2039"/>
      <c r="R322" s="2039"/>
      <c r="S322" s="2039"/>
      <c r="T322" s="2039"/>
      <c r="U322" s="2039"/>
      <c r="V322" s="2039"/>
      <c r="W322" s="2039"/>
      <c r="X322" s="2039"/>
      <c r="Y322" s="2039"/>
      <c r="Z322" s="2039"/>
      <c r="AA322" s="2039"/>
      <c r="AB322" s="2039"/>
      <c r="AC322" s="2039"/>
      <c r="AD322" s="2040"/>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41"/>
      <c r="G323" s="2042"/>
      <c r="H323" s="2042"/>
      <c r="I323" s="2042"/>
      <c r="J323" s="2042"/>
      <c r="K323" s="2042"/>
      <c r="L323" s="2042"/>
      <c r="M323" s="2042"/>
      <c r="N323" s="2042"/>
      <c r="O323" s="2042"/>
      <c r="P323" s="2042"/>
      <c r="Q323" s="2042"/>
      <c r="R323" s="2042"/>
      <c r="S323" s="2042"/>
      <c r="T323" s="2042"/>
      <c r="U323" s="2042"/>
      <c r="V323" s="2042"/>
      <c r="W323" s="2042"/>
      <c r="X323" s="2042"/>
      <c r="Y323" s="2042"/>
      <c r="Z323" s="2042"/>
      <c r="AA323" s="2042"/>
      <c r="AB323" s="2042"/>
      <c r="AC323" s="2042"/>
      <c r="AD323" s="2043"/>
      <c r="AE323" s="585"/>
      <c r="AF323" s="585"/>
      <c r="AG323" s="585"/>
      <c r="AH323" s="585"/>
      <c r="AI323" s="585"/>
      <c r="AJ323" s="584"/>
      <c r="AK323" s="584"/>
      <c r="AL323" s="584"/>
      <c r="AM323" s="584"/>
      <c r="AN323" s="73"/>
      <c r="AO323" s="14"/>
    </row>
    <row r="324" spans="1:44" ht="15" hidden="1" customHeight="1">
      <c r="A324" s="584"/>
      <c r="B324" s="585"/>
      <c r="C324" s="585"/>
      <c r="D324" s="585"/>
      <c r="E324" s="585"/>
      <c r="F324" s="2041"/>
      <c r="G324" s="2042"/>
      <c r="H324" s="2042"/>
      <c r="I324" s="2042"/>
      <c r="J324" s="2042"/>
      <c r="K324" s="2042"/>
      <c r="L324" s="2042"/>
      <c r="M324" s="2042"/>
      <c r="N324" s="2042"/>
      <c r="O324" s="2042"/>
      <c r="P324" s="2042"/>
      <c r="Q324" s="2042"/>
      <c r="R324" s="2042"/>
      <c r="S324" s="2042"/>
      <c r="T324" s="2042"/>
      <c r="U324" s="2042"/>
      <c r="V324" s="2042"/>
      <c r="W324" s="2042"/>
      <c r="X324" s="2042"/>
      <c r="Y324" s="2042"/>
      <c r="Z324" s="2042"/>
      <c r="AA324" s="2042"/>
      <c r="AB324" s="2042"/>
      <c r="AC324" s="2042"/>
      <c r="AD324" s="2043"/>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22">
        <f>IF(NOT(OR(Application!M355="Yes",Application!M356="Yes")),0,AP284)</f>
        <v>9</v>
      </c>
      <c r="AL327" s="1923"/>
      <c r="AM327" s="192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28" t="s">
        <v>1425</v>
      </c>
      <c r="AF330" s="1928"/>
      <c r="AG330" s="1928"/>
      <c r="AH330" s="1928"/>
      <c r="AI330" s="1928"/>
      <c r="AJ330" s="1928"/>
      <c r="AK330" s="192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2" t="s">
        <v>1565</v>
      </c>
      <c r="D332" s="1932"/>
      <c r="E332" s="1932"/>
      <c r="F332" s="1932"/>
      <c r="G332" s="1932"/>
      <c r="H332" s="1932"/>
      <c r="I332" s="1932"/>
      <c r="J332" s="1932"/>
      <c r="K332" s="1932"/>
      <c r="L332" s="1932"/>
      <c r="M332" s="1932"/>
      <c r="N332" s="1932"/>
      <c r="O332" s="1932"/>
      <c r="P332" s="1932"/>
      <c r="Q332" s="1932"/>
      <c r="R332" s="1932"/>
      <c r="S332" s="1932"/>
      <c r="T332" s="1932"/>
      <c r="U332" s="1932"/>
      <c r="V332" s="1932"/>
      <c r="W332" s="1932"/>
      <c r="X332" s="1932"/>
      <c r="Y332" s="1932"/>
      <c r="Z332" s="1932"/>
      <c r="AA332" s="1932"/>
      <c r="AB332" s="1932"/>
      <c r="AC332" s="1932"/>
      <c r="AD332" s="1932"/>
      <c r="AE332" s="1932"/>
      <c r="AF332" s="1932"/>
      <c r="AG332" s="1932"/>
      <c r="AH332" s="1932"/>
      <c r="AI332" s="1932"/>
      <c r="AJ332" s="1932"/>
      <c r="AK332" s="637"/>
      <c r="AL332" s="637"/>
      <c r="AM332" s="637"/>
      <c r="AN332" s="631"/>
    </row>
    <row r="333" spans="1:44" s="584" customFormat="1" ht="12.75" customHeight="1">
      <c r="A333" s="637"/>
      <c r="B333" s="645"/>
      <c r="C333" s="1932"/>
      <c r="D333" s="1932"/>
      <c r="E333" s="1932"/>
      <c r="F333" s="1932"/>
      <c r="G333" s="1932"/>
      <c r="H333" s="1932"/>
      <c r="I333" s="1932"/>
      <c r="J333" s="1932"/>
      <c r="K333" s="1932"/>
      <c r="L333" s="1932"/>
      <c r="M333" s="1932"/>
      <c r="N333" s="1932"/>
      <c r="O333" s="1932"/>
      <c r="P333" s="1932"/>
      <c r="Q333" s="1932"/>
      <c r="R333" s="1932"/>
      <c r="S333" s="1932"/>
      <c r="T333" s="1932"/>
      <c r="U333" s="1932"/>
      <c r="V333" s="1932"/>
      <c r="W333" s="1932"/>
      <c r="X333" s="1932"/>
      <c r="Y333" s="1932"/>
      <c r="Z333" s="1932"/>
      <c r="AA333" s="1932"/>
      <c r="AB333" s="1932"/>
      <c r="AC333" s="1932"/>
      <c r="AD333" s="1932"/>
      <c r="AE333" s="1932"/>
      <c r="AF333" s="1932"/>
      <c r="AG333" s="1932"/>
      <c r="AH333" s="1932"/>
      <c r="AI333" s="1932"/>
      <c r="AJ333" s="1932"/>
      <c r="AK333" s="637"/>
      <c r="AL333" s="637"/>
      <c r="AM333" s="637"/>
      <c r="AN333" s="631"/>
    </row>
    <row r="334" spans="1:44" s="584" customFormat="1" ht="12.75" customHeight="1">
      <c r="A334" s="637"/>
      <c r="B334" s="645"/>
      <c r="C334" s="1932"/>
      <c r="D334" s="1932"/>
      <c r="E334" s="1932"/>
      <c r="F334" s="1932"/>
      <c r="G334" s="1932"/>
      <c r="H334" s="1932"/>
      <c r="I334" s="1932"/>
      <c r="J334" s="1932"/>
      <c r="K334" s="1932"/>
      <c r="L334" s="1932"/>
      <c r="M334" s="1932"/>
      <c r="N334" s="1932"/>
      <c r="O334" s="1932"/>
      <c r="P334" s="1932"/>
      <c r="Q334" s="1932"/>
      <c r="R334" s="1932"/>
      <c r="S334" s="1932"/>
      <c r="T334" s="1932"/>
      <c r="U334" s="1932"/>
      <c r="V334" s="1932"/>
      <c r="W334" s="1932"/>
      <c r="X334" s="1932"/>
      <c r="Y334" s="1932"/>
      <c r="Z334" s="1932"/>
      <c r="AA334" s="1932"/>
      <c r="AB334" s="1932"/>
      <c r="AC334" s="1932"/>
      <c r="AD334" s="1932"/>
      <c r="AE334" s="1932"/>
      <c r="AF334" s="1932"/>
      <c r="AG334" s="1932"/>
      <c r="AH334" s="1932"/>
      <c r="AI334" s="1932"/>
      <c r="AJ334" s="1932"/>
      <c r="AK334" s="637"/>
      <c r="AL334" s="637"/>
      <c r="AM334" s="637"/>
      <c r="AN334" s="631"/>
      <c r="AQ334" s="604"/>
    </row>
    <row r="335" spans="1:44" s="584" customFormat="1" ht="12.75" customHeight="1">
      <c r="A335" s="637"/>
      <c r="B335" s="645"/>
      <c r="C335" s="1932"/>
      <c r="D335" s="1932"/>
      <c r="E335" s="1932"/>
      <c r="F335" s="1932"/>
      <c r="G335" s="1932"/>
      <c r="H335" s="1932"/>
      <c r="I335" s="1932"/>
      <c r="J335" s="1932"/>
      <c r="K335" s="1932"/>
      <c r="L335" s="1932"/>
      <c r="M335" s="1932"/>
      <c r="N335" s="1932"/>
      <c r="O335" s="1932"/>
      <c r="P335" s="1932"/>
      <c r="Q335" s="1932"/>
      <c r="R335" s="1932"/>
      <c r="S335" s="1932"/>
      <c r="T335" s="1932"/>
      <c r="U335" s="1932"/>
      <c r="V335" s="1932"/>
      <c r="W335" s="1932"/>
      <c r="X335" s="1932"/>
      <c r="Y335" s="1932"/>
      <c r="Z335" s="1932"/>
      <c r="AA335" s="1932"/>
      <c r="AB335" s="1932"/>
      <c r="AC335" s="1932"/>
      <c r="AD335" s="1932"/>
      <c r="AE335" s="1932"/>
      <c r="AF335" s="1932"/>
      <c r="AG335" s="1932"/>
      <c r="AH335" s="1932"/>
      <c r="AI335" s="1932"/>
      <c r="AJ335" s="1932"/>
      <c r="AK335" s="637"/>
      <c r="AL335" s="637"/>
      <c r="AM335" s="637"/>
      <c r="AN335" s="631"/>
      <c r="AQ335" s="604"/>
    </row>
    <row r="336" spans="1:44" s="584" customFormat="1" ht="12.45" customHeight="1">
      <c r="A336" s="637"/>
      <c r="B336" s="645"/>
      <c r="C336" s="1932"/>
      <c r="D336" s="1932"/>
      <c r="E336" s="1932"/>
      <c r="F336" s="1932"/>
      <c r="G336" s="1932"/>
      <c r="H336" s="1932"/>
      <c r="I336" s="1932"/>
      <c r="J336" s="1932"/>
      <c r="K336" s="1932"/>
      <c r="L336" s="1932"/>
      <c r="M336" s="1932"/>
      <c r="N336" s="1932"/>
      <c r="O336" s="1932"/>
      <c r="P336" s="1932"/>
      <c r="Q336" s="1932"/>
      <c r="R336" s="1932"/>
      <c r="S336" s="1932"/>
      <c r="T336" s="1932"/>
      <c r="U336" s="1932"/>
      <c r="V336" s="1932"/>
      <c r="W336" s="1932"/>
      <c r="X336" s="1932"/>
      <c r="Y336" s="1932"/>
      <c r="Z336" s="1932"/>
      <c r="AA336" s="1932"/>
      <c r="AB336" s="1932"/>
      <c r="AC336" s="1932"/>
      <c r="AD336" s="1932"/>
      <c r="AE336" s="1932"/>
      <c r="AF336" s="1932"/>
      <c r="AG336" s="1932"/>
      <c r="AH336" s="1932"/>
      <c r="AI336" s="1932"/>
      <c r="AJ336" s="1932"/>
      <c r="AK336" s="637"/>
      <c r="AL336" s="637"/>
      <c r="AM336" s="637"/>
      <c r="AN336" s="631"/>
      <c r="AQ336" s="604"/>
      <c r="AR336" s="604"/>
    </row>
    <row r="337" spans="1:46" s="584" customFormat="1" ht="45.75" customHeight="1">
      <c r="A337" s="637"/>
      <c r="B337" s="645"/>
      <c r="C337" s="1932" t="s">
        <v>2406</v>
      </c>
      <c r="D337" s="1932"/>
      <c r="E337" s="1932"/>
      <c r="F337" s="1932"/>
      <c r="G337" s="1932"/>
      <c r="H337" s="1932"/>
      <c r="I337" s="1932"/>
      <c r="J337" s="1932"/>
      <c r="K337" s="1932"/>
      <c r="L337" s="1932"/>
      <c r="M337" s="1932"/>
      <c r="N337" s="1932"/>
      <c r="O337" s="1932"/>
      <c r="P337" s="1932"/>
      <c r="Q337" s="1932"/>
      <c r="R337" s="1932"/>
      <c r="S337" s="1932"/>
      <c r="T337" s="1932"/>
      <c r="U337" s="1932"/>
      <c r="V337" s="1932"/>
      <c r="W337" s="1932"/>
      <c r="X337" s="1932"/>
      <c r="Y337" s="1932"/>
      <c r="Z337" s="1932"/>
      <c r="AA337" s="1932"/>
      <c r="AB337" s="1932"/>
      <c r="AC337" s="1932"/>
      <c r="AD337" s="1932"/>
      <c r="AE337" s="1932"/>
      <c r="AF337" s="1932"/>
      <c r="AG337" s="1932"/>
      <c r="AH337" s="1932"/>
      <c r="AI337" s="1932"/>
      <c r="AJ337" s="1932"/>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2" t="s">
        <v>2570</v>
      </c>
      <c r="D339" s="1932"/>
      <c r="E339" s="1932"/>
      <c r="F339" s="1932"/>
      <c r="G339" s="1932"/>
      <c r="H339" s="1932"/>
      <c r="I339" s="1932"/>
      <c r="J339" s="1932"/>
      <c r="K339" s="1932"/>
      <c r="L339" s="1932"/>
      <c r="M339" s="1932"/>
      <c r="N339" s="1932"/>
      <c r="O339" s="1932"/>
      <c r="P339" s="1932"/>
      <c r="Q339" s="1932"/>
      <c r="R339" s="1932"/>
      <c r="S339" s="1932"/>
      <c r="T339" s="1932"/>
      <c r="U339" s="1932"/>
      <c r="V339" s="1932"/>
      <c r="W339" s="1932"/>
      <c r="X339" s="1932"/>
      <c r="Y339" s="1932"/>
      <c r="Z339" s="1932"/>
      <c r="AA339" s="1932"/>
      <c r="AB339" s="1932"/>
      <c r="AC339" s="1932"/>
      <c r="AD339" s="1932"/>
      <c r="AE339" s="1932"/>
      <c r="AF339" s="1932"/>
      <c r="AG339" s="1932"/>
      <c r="AH339" s="1932"/>
      <c r="AI339" s="1932"/>
      <c r="AJ339" s="1932"/>
      <c r="AK339" s="637"/>
      <c r="AL339" s="637"/>
      <c r="AM339" s="637"/>
      <c r="AN339" s="631"/>
      <c r="AQ339" s="604"/>
      <c r="AR339" s="604"/>
    </row>
    <row r="340" spans="1:46" s="584" customFormat="1" ht="30" customHeight="1">
      <c r="A340" s="637"/>
      <c r="B340" s="645"/>
      <c r="C340" s="1932"/>
      <c r="D340" s="1932"/>
      <c r="E340" s="1932"/>
      <c r="F340" s="1932"/>
      <c r="G340" s="1932"/>
      <c r="H340" s="1932"/>
      <c r="I340" s="1932"/>
      <c r="J340" s="1932"/>
      <c r="K340" s="1932"/>
      <c r="L340" s="1932"/>
      <c r="M340" s="1932"/>
      <c r="N340" s="1932"/>
      <c r="O340" s="1932"/>
      <c r="P340" s="1932"/>
      <c r="Q340" s="1932"/>
      <c r="R340" s="1932"/>
      <c r="S340" s="1932"/>
      <c r="T340" s="1932"/>
      <c r="U340" s="1932"/>
      <c r="V340" s="1932"/>
      <c r="W340" s="1932"/>
      <c r="X340" s="1932"/>
      <c r="Y340" s="1932"/>
      <c r="Z340" s="1932"/>
      <c r="AA340" s="1932"/>
      <c r="AB340" s="1932"/>
      <c r="AC340" s="1932"/>
      <c r="AD340" s="1932"/>
      <c r="AE340" s="1932"/>
      <c r="AF340" s="1932"/>
      <c r="AG340" s="1932"/>
      <c r="AH340" s="1932"/>
      <c r="AI340" s="1932"/>
      <c r="AJ340" s="1932"/>
      <c r="AK340" s="637"/>
      <c r="AL340" s="637"/>
      <c r="AM340" s="637"/>
      <c r="AN340" s="631"/>
      <c r="AR340" s="604"/>
    </row>
    <row r="341" spans="1:46" s="584" customFormat="1" ht="12.75" customHeight="1">
      <c r="A341" s="637"/>
      <c r="B341" s="645"/>
      <c r="C341" s="1932"/>
      <c r="D341" s="1932"/>
      <c r="E341" s="1932"/>
      <c r="F341" s="1932"/>
      <c r="G341" s="1932"/>
      <c r="H341" s="1932"/>
      <c r="I341" s="1932"/>
      <c r="J341" s="1932"/>
      <c r="K341" s="1932"/>
      <c r="L341" s="1932"/>
      <c r="M341" s="1932"/>
      <c r="N341" s="1932"/>
      <c r="O341" s="1932"/>
      <c r="P341" s="1932"/>
      <c r="Q341" s="1932"/>
      <c r="R341" s="1932"/>
      <c r="S341" s="1932"/>
      <c r="T341" s="1932"/>
      <c r="U341" s="1932"/>
      <c r="V341" s="1932"/>
      <c r="W341" s="1932"/>
      <c r="X341" s="1932"/>
      <c r="Y341" s="1932"/>
      <c r="Z341" s="1932"/>
      <c r="AA341" s="1932"/>
      <c r="AB341" s="1932"/>
      <c r="AC341" s="1932"/>
      <c r="AD341" s="1932"/>
      <c r="AE341" s="1932"/>
      <c r="AF341" s="1932"/>
      <c r="AG341" s="1932"/>
      <c r="AH341" s="1932"/>
      <c r="AI341" s="1932"/>
      <c r="AJ341" s="1932"/>
      <c r="AK341" s="637"/>
      <c r="AL341" s="637"/>
      <c r="AM341" s="637"/>
      <c r="AN341" s="631"/>
      <c r="AR341" s="604"/>
    </row>
    <row r="342" spans="1:46" s="584" customFormat="1" ht="12.75" customHeight="1">
      <c r="A342" s="637"/>
      <c r="B342" s="645"/>
      <c r="C342" s="1932" t="s">
        <v>1566</v>
      </c>
      <c r="D342" s="1932"/>
      <c r="E342" s="1932"/>
      <c r="F342" s="1932"/>
      <c r="G342" s="1932"/>
      <c r="H342" s="1932"/>
      <c r="I342" s="1932"/>
      <c r="J342" s="1932"/>
      <c r="K342" s="1932"/>
      <c r="L342" s="1932"/>
      <c r="M342" s="1932"/>
      <c r="N342" s="1932"/>
      <c r="O342" s="1932"/>
      <c r="P342" s="1932"/>
      <c r="Q342" s="1932"/>
      <c r="R342" s="1932"/>
      <c r="S342" s="1932"/>
      <c r="T342" s="1932"/>
      <c r="U342" s="1932"/>
      <c r="V342" s="1932"/>
      <c r="W342" s="1932"/>
      <c r="X342" s="1932"/>
      <c r="Y342" s="1932"/>
      <c r="Z342" s="1932"/>
      <c r="AA342" s="1932"/>
      <c r="AB342" s="1932"/>
      <c r="AC342" s="1932"/>
      <c r="AD342" s="1932"/>
      <c r="AE342" s="1932"/>
      <c r="AF342" s="1932"/>
      <c r="AG342" s="1932"/>
      <c r="AH342" s="1932"/>
      <c r="AI342" s="1932"/>
      <c r="AJ342" s="1932"/>
      <c r="AK342" s="637"/>
      <c r="AL342" s="637"/>
      <c r="AM342" s="637"/>
      <c r="AN342" s="631"/>
      <c r="AQ342" s="604"/>
      <c r="AR342" s="604"/>
    </row>
    <row r="343" spans="1:46" s="584" customFormat="1" ht="12.75" customHeight="1">
      <c r="A343" s="637"/>
      <c r="B343" s="645"/>
      <c r="C343" s="1932"/>
      <c r="D343" s="1932"/>
      <c r="E343" s="1932"/>
      <c r="F343" s="1932"/>
      <c r="G343" s="1932"/>
      <c r="H343" s="1932"/>
      <c r="I343" s="1932"/>
      <c r="J343" s="1932"/>
      <c r="K343" s="1932"/>
      <c r="L343" s="1932"/>
      <c r="M343" s="1932"/>
      <c r="N343" s="1932"/>
      <c r="O343" s="1932"/>
      <c r="P343" s="1932"/>
      <c r="Q343" s="1932"/>
      <c r="R343" s="1932"/>
      <c r="S343" s="1932"/>
      <c r="T343" s="1932"/>
      <c r="U343" s="1932"/>
      <c r="V343" s="1932"/>
      <c r="W343" s="1932"/>
      <c r="X343" s="1932"/>
      <c r="Y343" s="1932"/>
      <c r="Z343" s="1932"/>
      <c r="AA343" s="1932"/>
      <c r="AB343" s="1932"/>
      <c r="AC343" s="1932"/>
      <c r="AD343" s="1932"/>
      <c r="AE343" s="1932"/>
      <c r="AF343" s="1932"/>
      <c r="AG343" s="1932"/>
      <c r="AH343" s="1932"/>
      <c r="AI343" s="1932"/>
      <c r="AJ343" s="1932"/>
      <c r="AK343" s="637"/>
      <c r="AL343" s="637"/>
      <c r="AM343" s="637"/>
      <c r="AN343" s="631"/>
      <c r="AQ343" s="604"/>
      <c r="AR343" s="604"/>
    </row>
    <row r="344" spans="1:46" s="584" customFormat="1" ht="13.2" customHeight="1">
      <c r="A344" s="637"/>
      <c r="B344" s="645"/>
      <c r="C344" s="1932"/>
      <c r="D344" s="1932"/>
      <c r="E344" s="1932"/>
      <c r="F344" s="1932"/>
      <c r="G344" s="1932"/>
      <c r="H344" s="1932"/>
      <c r="I344" s="1932"/>
      <c r="J344" s="1932"/>
      <c r="K344" s="1932"/>
      <c r="L344" s="1932"/>
      <c r="M344" s="1932"/>
      <c r="N344" s="1932"/>
      <c r="O344" s="1932"/>
      <c r="P344" s="1932"/>
      <c r="Q344" s="1932"/>
      <c r="R344" s="1932"/>
      <c r="S344" s="1932"/>
      <c r="T344" s="1932"/>
      <c r="U344" s="1932"/>
      <c r="V344" s="1932"/>
      <c r="W344" s="1932"/>
      <c r="X344" s="1932"/>
      <c r="Y344" s="1932"/>
      <c r="Z344" s="1932"/>
      <c r="AA344" s="1932"/>
      <c r="AB344" s="1932"/>
      <c r="AC344" s="1932"/>
      <c r="AD344" s="1932"/>
      <c r="AE344" s="1932"/>
      <c r="AF344" s="1932"/>
      <c r="AG344" s="1932"/>
      <c r="AH344" s="1932"/>
      <c r="AI344" s="1932"/>
      <c r="AJ344" s="1932"/>
      <c r="AK344" s="637"/>
      <c r="AL344" s="637"/>
      <c r="AM344" s="637"/>
      <c r="AN344" s="631"/>
      <c r="AQ344" s="604"/>
      <c r="AR344" s="604"/>
    </row>
    <row r="345" spans="1:46" s="584" customFormat="1" ht="12.75" customHeight="1">
      <c r="A345" s="637"/>
      <c r="B345" s="645"/>
      <c r="C345" s="1932"/>
      <c r="D345" s="1932"/>
      <c r="E345" s="1932"/>
      <c r="F345" s="1932"/>
      <c r="G345" s="1932"/>
      <c r="H345" s="1932"/>
      <c r="I345" s="1932"/>
      <c r="J345" s="1932"/>
      <c r="K345" s="1932"/>
      <c r="L345" s="1932"/>
      <c r="M345" s="1932"/>
      <c r="N345" s="1932"/>
      <c r="O345" s="1932"/>
      <c r="P345" s="1932"/>
      <c r="Q345" s="1932"/>
      <c r="R345" s="1932"/>
      <c r="S345" s="1932"/>
      <c r="T345" s="1932"/>
      <c r="U345" s="1932"/>
      <c r="V345" s="1932"/>
      <c r="W345" s="1932"/>
      <c r="X345" s="1932"/>
      <c r="Y345" s="1932"/>
      <c r="Z345" s="1932"/>
      <c r="AA345" s="1932"/>
      <c r="AB345" s="1932"/>
      <c r="AC345" s="1932"/>
      <c r="AD345" s="1932"/>
      <c r="AE345" s="1932"/>
      <c r="AF345" s="1932"/>
      <c r="AG345" s="1932"/>
      <c r="AH345" s="1932"/>
      <c r="AI345" s="1932"/>
      <c r="AJ345" s="1932"/>
      <c r="AK345" s="637"/>
      <c r="AL345" s="637"/>
      <c r="AM345" s="637"/>
      <c r="AN345" s="631"/>
      <c r="AO345" s="728"/>
      <c r="AP345" s="728"/>
      <c r="AQ345" s="604"/>
    </row>
    <row r="346" spans="1:46" s="584" customFormat="1" ht="11.85" customHeight="1">
      <c r="A346" s="637"/>
      <c r="B346" s="645"/>
      <c r="C346" s="1932"/>
      <c r="D346" s="1932"/>
      <c r="E346" s="1932"/>
      <c r="F346" s="1932"/>
      <c r="G346" s="1932"/>
      <c r="H346" s="1932"/>
      <c r="I346" s="1932"/>
      <c r="J346" s="1932"/>
      <c r="K346" s="1932"/>
      <c r="L346" s="1932"/>
      <c r="M346" s="1932"/>
      <c r="N346" s="1932"/>
      <c r="O346" s="1932"/>
      <c r="P346" s="1932"/>
      <c r="Q346" s="1932"/>
      <c r="R346" s="1932"/>
      <c r="S346" s="1932"/>
      <c r="T346" s="1932"/>
      <c r="U346" s="1932"/>
      <c r="V346" s="1932"/>
      <c r="W346" s="1932"/>
      <c r="X346" s="1932"/>
      <c r="Y346" s="1932"/>
      <c r="Z346" s="1932"/>
      <c r="AA346" s="1932"/>
      <c r="AB346" s="1932"/>
      <c r="AC346" s="1932"/>
      <c r="AD346" s="1932"/>
      <c r="AE346" s="1932"/>
      <c r="AF346" s="1932"/>
      <c r="AG346" s="1932"/>
      <c r="AH346" s="1932"/>
      <c r="AI346" s="1932"/>
      <c r="AJ346" s="1932"/>
      <c r="AK346" s="637"/>
      <c r="AL346" s="637"/>
      <c r="AM346" s="637"/>
      <c r="AN346" s="631"/>
      <c r="AO346" s="729" t="s">
        <v>112</v>
      </c>
      <c r="AP346" s="730">
        <f>IF(C370="Yes",5,0)</f>
        <v>0</v>
      </c>
      <c r="AS346" s="573" t="s">
        <v>1567</v>
      </c>
    </row>
    <row r="347" spans="1:46" s="584" customFormat="1" ht="12.75" customHeight="1">
      <c r="A347" s="637"/>
      <c r="B347" s="645"/>
      <c r="C347" s="1932"/>
      <c r="D347" s="1932"/>
      <c r="E347" s="1932"/>
      <c r="F347" s="1932"/>
      <c r="G347" s="1932"/>
      <c r="H347" s="1932"/>
      <c r="I347" s="1932"/>
      <c r="J347" s="1932"/>
      <c r="K347" s="1932"/>
      <c r="L347" s="1932"/>
      <c r="M347" s="1932"/>
      <c r="N347" s="1932"/>
      <c r="O347" s="1932"/>
      <c r="P347" s="1932"/>
      <c r="Q347" s="1932"/>
      <c r="R347" s="1932"/>
      <c r="S347" s="1932"/>
      <c r="T347" s="1932"/>
      <c r="U347" s="1932"/>
      <c r="V347" s="1932"/>
      <c r="W347" s="1932"/>
      <c r="X347" s="1932"/>
      <c r="Y347" s="1932"/>
      <c r="Z347" s="1932"/>
      <c r="AA347" s="1932"/>
      <c r="AB347" s="1932"/>
      <c r="AC347" s="1932"/>
      <c r="AD347" s="1932"/>
      <c r="AE347" s="1932"/>
      <c r="AF347" s="1932"/>
      <c r="AG347" s="1932"/>
      <c r="AH347" s="1932"/>
      <c r="AI347" s="1932"/>
      <c r="AJ347" s="1932"/>
      <c r="AK347" s="637"/>
      <c r="AL347" s="637"/>
      <c r="AM347" s="637"/>
      <c r="AN347" s="631"/>
      <c r="AO347" s="729" t="s">
        <v>113</v>
      </c>
      <c r="AP347" s="730">
        <f>IF(C378="Yes",5,0)</f>
        <v>0</v>
      </c>
      <c r="AS347" s="1897">
        <f>IF(Application!D211="Non-Targeted",(SUM(AQ355+AQ364)),AS351)</f>
        <v>10</v>
      </c>
      <c r="AT347" s="1897"/>
    </row>
    <row r="348" spans="1:46" s="584" customFormat="1" ht="12.75" customHeight="1">
      <c r="A348" s="637"/>
      <c r="B348" s="645"/>
      <c r="C348" s="1932"/>
      <c r="D348" s="1932"/>
      <c r="E348" s="1932"/>
      <c r="F348" s="1932"/>
      <c r="G348" s="1932"/>
      <c r="H348" s="1932"/>
      <c r="I348" s="1932"/>
      <c r="J348" s="1932"/>
      <c r="K348" s="1932"/>
      <c r="L348" s="1932"/>
      <c r="M348" s="1932"/>
      <c r="N348" s="1932"/>
      <c r="O348" s="1932"/>
      <c r="P348" s="1932"/>
      <c r="Q348" s="1932"/>
      <c r="R348" s="1932"/>
      <c r="S348" s="1932"/>
      <c r="T348" s="1932"/>
      <c r="U348" s="1932"/>
      <c r="V348" s="1932"/>
      <c r="W348" s="1932"/>
      <c r="X348" s="1932"/>
      <c r="Y348" s="1932"/>
      <c r="Z348" s="1932"/>
      <c r="AA348" s="1932"/>
      <c r="AB348" s="1932"/>
      <c r="AC348" s="1932"/>
      <c r="AD348" s="1932"/>
      <c r="AE348" s="1932"/>
      <c r="AF348" s="1932"/>
      <c r="AG348" s="1932"/>
      <c r="AH348" s="1932"/>
      <c r="AI348" s="1932"/>
      <c r="AJ348" s="1932"/>
      <c r="AK348" s="637"/>
      <c r="AL348" s="637"/>
      <c r="AM348" s="637"/>
      <c r="AN348" s="631"/>
      <c r="AO348" s="729" t="s">
        <v>119</v>
      </c>
      <c r="AP348" s="730">
        <f>IF(C386="Yes",7,0)</f>
        <v>7</v>
      </c>
      <c r="AS348" s="573" t="s">
        <v>1568</v>
      </c>
    </row>
    <row r="349" spans="1:46" s="584" customFormat="1" ht="12.75" customHeight="1">
      <c r="A349" s="637"/>
      <c r="B349" s="645"/>
      <c r="C349" s="1932"/>
      <c r="D349" s="1932"/>
      <c r="E349" s="1932"/>
      <c r="F349" s="1932"/>
      <c r="G349" s="1932"/>
      <c r="H349" s="1932"/>
      <c r="I349" s="1932"/>
      <c r="J349" s="1932"/>
      <c r="K349" s="1932"/>
      <c r="L349" s="1932"/>
      <c r="M349" s="1932"/>
      <c r="N349" s="1932"/>
      <c r="O349" s="1932"/>
      <c r="P349" s="1932"/>
      <c r="Q349" s="1932"/>
      <c r="R349" s="1932"/>
      <c r="S349" s="1932"/>
      <c r="T349" s="1932"/>
      <c r="U349" s="1932"/>
      <c r="V349" s="1932"/>
      <c r="W349" s="1932"/>
      <c r="X349" s="1932"/>
      <c r="Y349" s="1932"/>
      <c r="Z349" s="1932"/>
      <c r="AA349" s="1932"/>
      <c r="AB349" s="1932"/>
      <c r="AC349" s="1932"/>
      <c r="AD349" s="1932"/>
      <c r="AE349" s="1932"/>
      <c r="AF349" s="1932"/>
      <c r="AG349" s="1932"/>
      <c r="AH349" s="1932"/>
      <c r="AI349" s="1932"/>
      <c r="AJ349" s="1932"/>
      <c r="AK349" s="637"/>
      <c r="AL349" s="637"/>
      <c r="AM349" s="637"/>
      <c r="AN349" s="631"/>
      <c r="AO349" s="631"/>
      <c r="AP349" s="730">
        <f>IF(C388="Yes",5,0)</f>
        <v>0</v>
      </c>
      <c r="AS349" s="1897">
        <f>IF(AND(AQ355&gt;0,AQ364&gt;0),(AQ355+AQ364)/2,0)</f>
        <v>0</v>
      </c>
      <c r="AT349" s="1897"/>
    </row>
    <row r="350" spans="1:46" s="584" customFormat="1" ht="12.75" customHeight="1">
      <c r="A350" s="637"/>
      <c r="B350" s="645"/>
      <c r="C350" s="1932"/>
      <c r="D350" s="1932"/>
      <c r="E350" s="1932"/>
      <c r="F350" s="1932"/>
      <c r="G350" s="1932"/>
      <c r="H350" s="1932"/>
      <c r="I350" s="1932"/>
      <c r="J350" s="1932"/>
      <c r="K350" s="1932"/>
      <c r="L350" s="1932"/>
      <c r="M350" s="1932"/>
      <c r="N350" s="1932"/>
      <c r="O350" s="1932"/>
      <c r="P350" s="1932"/>
      <c r="Q350" s="1932"/>
      <c r="R350" s="1932"/>
      <c r="S350" s="1932"/>
      <c r="T350" s="1932"/>
      <c r="U350" s="1932"/>
      <c r="V350" s="1932"/>
      <c r="W350" s="1932"/>
      <c r="X350" s="1932"/>
      <c r="Y350" s="1932"/>
      <c r="Z350" s="1932"/>
      <c r="AA350" s="1932"/>
      <c r="AB350" s="1932"/>
      <c r="AC350" s="1932"/>
      <c r="AD350" s="1932"/>
      <c r="AE350" s="1932"/>
      <c r="AF350" s="1932"/>
      <c r="AG350" s="1932"/>
      <c r="AH350" s="1932"/>
      <c r="AI350" s="1932"/>
      <c r="AJ350" s="1932"/>
      <c r="AK350" s="637"/>
      <c r="AL350" s="637"/>
      <c r="AM350" s="637"/>
      <c r="AN350" s="631"/>
      <c r="AO350" s="729" t="s">
        <v>589</v>
      </c>
      <c r="AP350" s="730">
        <f>IF(C396="Yes",5,0)</f>
        <v>0</v>
      </c>
      <c r="AS350" s="573" t="s">
        <v>2067</v>
      </c>
    </row>
    <row r="351" spans="1:46" s="584" customFormat="1" ht="12.75" customHeight="1">
      <c r="A351" s="637"/>
      <c r="B351" s="645"/>
      <c r="C351" s="2026" t="s">
        <v>1569</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3</v>
      </c>
      <c r="AS351" s="1897">
        <f>IF(AQ355=0,AQ364,AQ355)</f>
        <v>10</v>
      </c>
      <c r="AT351" s="1897"/>
    </row>
    <row r="352" spans="1:46" s="584" customFormat="1" ht="12.75"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772</v>
      </c>
      <c r="AP352" s="730">
        <f>IF(C401="Yes",5,0)</f>
        <v>0</v>
      </c>
    </row>
    <row r="353" spans="1:81" s="584" customFormat="1" ht="12.75"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592</v>
      </c>
      <c r="AP353" s="730">
        <f>IF(C410="Yes",5,0)</f>
        <v>0</v>
      </c>
    </row>
    <row r="354" spans="1:81" s="584" customFormat="1" ht="11.8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0</v>
      </c>
    </row>
    <row r="355" spans="1:81" s="584" customFormat="1" ht="12.45"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228</v>
      </c>
      <c r="AP355" s="734">
        <f>SUM(AP346:AP354)</f>
        <v>10</v>
      </c>
      <c r="AQ355" s="1935">
        <f>IF(AP355&gt;0,AP355,0)</f>
        <v>10</v>
      </c>
      <c r="AR355" s="1935"/>
    </row>
    <row r="356" spans="1:81" s="584" customFormat="1" ht="12.75"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32" t="s">
        <v>1570</v>
      </c>
      <c r="D358" s="1932"/>
      <c r="E358" s="1932"/>
      <c r="F358" s="1932"/>
      <c r="G358" s="1932"/>
      <c r="H358" s="1932"/>
      <c r="I358" s="1932"/>
      <c r="J358" s="1932"/>
      <c r="K358" s="1932"/>
      <c r="L358" s="1932"/>
      <c r="M358" s="1932"/>
      <c r="N358" s="1932"/>
      <c r="O358" s="1932"/>
      <c r="P358" s="1932"/>
      <c r="Q358" s="1932"/>
      <c r="R358" s="1932"/>
      <c r="S358" s="1932"/>
      <c r="T358" s="1932"/>
      <c r="U358" s="1932"/>
      <c r="V358" s="1932"/>
      <c r="W358" s="1932"/>
      <c r="X358" s="1932"/>
      <c r="Y358" s="1932"/>
      <c r="Z358" s="1932"/>
      <c r="AA358" s="1932"/>
      <c r="AB358" s="1932"/>
      <c r="AC358" s="1932"/>
      <c r="AD358" s="1932"/>
      <c r="AE358" s="1932"/>
      <c r="AF358" s="1932"/>
      <c r="AG358" s="1932"/>
      <c r="AH358" s="1932"/>
      <c r="AI358" s="1932"/>
      <c r="AJ358" s="1932"/>
      <c r="AK358" s="637"/>
      <c r="AL358" s="637"/>
      <c r="AM358" s="637"/>
      <c r="AN358" s="631"/>
      <c r="AO358" s="729" t="s">
        <v>464</v>
      </c>
      <c r="AP358" s="730">
        <f>IF(C431="Yes",5,0)</f>
        <v>0</v>
      </c>
    </row>
    <row r="359" spans="1:81" s="584" customFormat="1" ht="12.75" customHeight="1">
      <c r="A359" s="637"/>
      <c r="B359" s="645"/>
      <c r="C359" s="1932"/>
      <c r="D359" s="1932"/>
      <c r="E359" s="1932"/>
      <c r="F359" s="1932"/>
      <c r="G359" s="1932"/>
      <c r="H359" s="1932"/>
      <c r="I359" s="1932"/>
      <c r="J359" s="1932"/>
      <c r="K359" s="1932"/>
      <c r="L359" s="1932"/>
      <c r="M359" s="1932"/>
      <c r="N359" s="1932"/>
      <c r="O359" s="1932"/>
      <c r="P359" s="1932"/>
      <c r="Q359" s="1932"/>
      <c r="R359" s="1932"/>
      <c r="S359" s="1932"/>
      <c r="T359" s="1932"/>
      <c r="U359" s="1932"/>
      <c r="V359" s="1932"/>
      <c r="W359" s="1932"/>
      <c r="X359" s="1932"/>
      <c r="Y359" s="1932"/>
      <c r="Z359" s="1932"/>
      <c r="AA359" s="1932"/>
      <c r="AB359" s="1932"/>
      <c r="AC359" s="1932"/>
      <c r="AD359" s="1932"/>
      <c r="AE359" s="1932"/>
      <c r="AF359" s="1932"/>
      <c r="AG359" s="1932"/>
      <c r="AH359" s="1932"/>
      <c r="AI359" s="1932"/>
      <c r="AJ359" s="1932"/>
      <c r="AK359" s="637"/>
      <c r="AL359" s="637"/>
      <c r="AM359" s="637"/>
      <c r="AN359" s="631"/>
      <c r="AO359" s="729" t="s">
        <v>469</v>
      </c>
      <c r="AP359" s="730">
        <f>IF(C438="Yes",5,0)</f>
        <v>0</v>
      </c>
    </row>
    <row r="360" spans="1:81" s="584" customFormat="1" ht="68.099999999999994" customHeight="1">
      <c r="A360" s="637"/>
      <c r="B360" s="645"/>
      <c r="C360" s="1932"/>
      <c r="D360" s="1932"/>
      <c r="E360" s="1932"/>
      <c r="F360" s="1932"/>
      <c r="G360" s="1932"/>
      <c r="H360" s="1932"/>
      <c r="I360" s="1932"/>
      <c r="J360" s="1932"/>
      <c r="K360" s="1932"/>
      <c r="L360" s="1932"/>
      <c r="M360" s="1932"/>
      <c r="N360" s="1932"/>
      <c r="O360" s="1932"/>
      <c r="P360" s="1932"/>
      <c r="Q360" s="1932"/>
      <c r="R360" s="1932"/>
      <c r="S360" s="1932"/>
      <c r="T360" s="1932"/>
      <c r="U360" s="1932"/>
      <c r="V360" s="1932"/>
      <c r="W360" s="1932"/>
      <c r="X360" s="1932"/>
      <c r="Y360" s="1932"/>
      <c r="Z360" s="1932"/>
      <c r="AA360" s="1932"/>
      <c r="AB360" s="1932"/>
      <c r="AC360" s="1932"/>
      <c r="AD360" s="1932"/>
      <c r="AE360" s="1932"/>
      <c r="AF360" s="1932"/>
      <c r="AG360" s="1932"/>
      <c r="AH360" s="1932"/>
      <c r="AI360" s="1932"/>
      <c r="AJ360" s="1932"/>
      <c r="AK360" s="637"/>
      <c r="AL360" s="637"/>
      <c r="AM360" s="637"/>
      <c r="AN360" s="631"/>
      <c r="AO360" s="729" t="s">
        <v>654</v>
      </c>
      <c r="AP360" s="735">
        <f>IF(C442="Yes",5,0)</f>
        <v>0</v>
      </c>
    </row>
    <row r="361" spans="1:81" s="584" customFormat="1" ht="12.45"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33">
        <f>Application!CS660-U363</f>
        <v>359</v>
      </c>
      <c r="V362" s="1933"/>
      <c r="W362" s="193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34">
        <f>Application!AG756</f>
        <v>0</v>
      </c>
      <c r="V363" s="1934"/>
      <c r="W363" s="193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5">
        <f>IF(AP364&gt;0,AP364,0)</f>
        <v>0</v>
      </c>
      <c r="AR364" s="1935"/>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26" t="s">
        <v>1572</v>
      </c>
      <c r="G366" s="1926"/>
      <c r="H366" s="1926"/>
      <c r="I366" s="1926"/>
      <c r="J366" s="1926"/>
      <c r="K366" s="1926"/>
      <c r="L366" s="1926"/>
      <c r="M366" s="1926"/>
      <c r="N366" s="1926"/>
      <c r="O366" s="1926"/>
      <c r="P366" s="1926"/>
      <c r="Q366" s="1926"/>
      <c r="R366" s="1926"/>
      <c r="S366" s="1926"/>
      <c r="T366" s="1926"/>
      <c r="U366" s="1926"/>
      <c r="V366" s="1926"/>
      <c r="W366" s="1926"/>
      <c r="X366" s="1926"/>
      <c r="Y366" s="1926"/>
      <c r="Z366" s="1926"/>
      <c r="AA366" s="1926"/>
      <c r="AB366" s="1926"/>
      <c r="AC366" s="1926"/>
      <c r="AD366" s="1926"/>
      <c r="AE366" s="1926"/>
      <c r="AF366" s="192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7"/>
      <c r="G367" s="1927"/>
      <c r="H367" s="1927"/>
      <c r="I367" s="1927"/>
      <c r="J367" s="1927"/>
      <c r="K367" s="1927"/>
      <c r="L367" s="1927"/>
      <c r="M367" s="1927"/>
      <c r="N367" s="1927"/>
      <c r="O367" s="1927"/>
      <c r="P367" s="1927"/>
      <c r="Q367" s="1927"/>
      <c r="R367" s="1927"/>
      <c r="S367" s="1927"/>
      <c r="T367" s="1927"/>
      <c r="U367" s="1927"/>
      <c r="V367" s="1927"/>
      <c r="W367" s="1927"/>
      <c r="X367" s="1927"/>
      <c r="Y367" s="1927"/>
      <c r="Z367" s="1927"/>
      <c r="AA367" s="1927"/>
      <c r="AB367" s="1927"/>
      <c r="AC367" s="1927"/>
      <c r="AD367" s="1927"/>
      <c r="AE367" s="1927"/>
      <c r="AF367" s="192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7"/>
      <c r="G368" s="1927"/>
      <c r="H368" s="1927"/>
      <c r="I368" s="1927"/>
      <c r="J368" s="1927"/>
      <c r="K368" s="1927"/>
      <c r="L368" s="1927"/>
      <c r="M368" s="1927"/>
      <c r="N368" s="1927"/>
      <c r="O368" s="1927"/>
      <c r="P368" s="1927"/>
      <c r="Q368" s="1927"/>
      <c r="R368" s="1927"/>
      <c r="S368" s="1927"/>
      <c r="T368" s="1927"/>
      <c r="U368" s="1927"/>
      <c r="V368" s="1927"/>
      <c r="W368" s="1927"/>
      <c r="X368" s="1927"/>
      <c r="Y368" s="1927"/>
      <c r="Z368" s="1927"/>
      <c r="AA368" s="1927"/>
      <c r="AB368" s="1927"/>
      <c r="AC368" s="1927"/>
      <c r="AD368" s="1927"/>
      <c r="AE368" s="1927"/>
      <c r="AF368" s="192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7"/>
      <c r="G369" s="1927"/>
      <c r="H369" s="1927"/>
      <c r="I369" s="1927"/>
      <c r="J369" s="1927"/>
      <c r="K369" s="1927"/>
      <c r="L369" s="1927"/>
      <c r="M369" s="1927"/>
      <c r="N369" s="1927"/>
      <c r="O369" s="1927"/>
      <c r="P369" s="1927"/>
      <c r="Q369" s="1927"/>
      <c r="R369" s="1927"/>
      <c r="S369" s="1927"/>
      <c r="T369" s="1927"/>
      <c r="U369" s="1927"/>
      <c r="V369" s="1927"/>
      <c r="W369" s="1927"/>
      <c r="X369" s="1927"/>
      <c r="Y369" s="1927"/>
      <c r="Z369" s="1927"/>
      <c r="AA369" s="1927"/>
      <c r="AB369" s="1927"/>
      <c r="AC369" s="1927"/>
      <c r="AD369" s="1927"/>
      <c r="AE369" s="1927"/>
      <c r="AF369" s="192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6" t="s">
        <v>599</v>
      </c>
      <c r="D370" s="1937"/>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5" t="s">
        <v>1574</v>
      </c>
      <c r="AG370" s="1925"/>
      <c r="AH370" s="1925"/>
      <c r="AI370" s="1925"/>
      <c r="AJ370" s="1925"/>
      <c r="AK370" s="1925"/>
      <c r="AL370" s="193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26" t="s">
        <v>1575</v>
      </c>
      <c r="G373" s="1926"/>
      <c r="H373" s="1926"/>
      <c r="I373" s="1926"/>
      <c r="J373" s="1926"/>
      <c r="K373" s="1926"/>
      <c r="L373" s="1926"/>
      <c r="M373" s="1926"/>
      <c r="N373" s="1926"/>
      <c r="O373" s="1926"/>
      <c r="P373" s="1926"/>
      <c r="Q373" s="1926"/>
      <c r="R373" s="1926"/>
      <c r="S373" s="1926"/>
      <c r="T373" s="1926"/>
      <c r="U373" s="1926"/>
      <c r="V373" s="1926"/>
      <c r="W373" s="1926"/>
      <c r="X373" s="1926"/>
      <c r="Y373" s="1926"/>
      <c r="Z373" s="1926"/>
      <c r="AA373" s="1926"/>
      <c r="AB373" s="1926"/>
      <c r="AC373" s="1926"/>
      <c r="AD373" s="1926"/>
      <c r="AE373" s="1926"/>
      <c r="AF373" s="192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7"/>
      <c r="G374" s="1927"/>
      <c r="H374" s="1927"/>
      <c r="I374" s="1927"/>
      <c r="J374" s="1927"/>
      <c r="K374" s="1927"/>
      <c r="L374" s="1927"/>
      <c r="M374" s="1927"/>
      <c r="N374" s="1927"/>
      <c r="O374" s="1927"/>
      <c r="P374" s="1927"/>
      <c r="Q374" s="1927"/>
      <c r="R374" s="1927"/>
      <c r="S374" s="1927"/>
      <c r="T374" s="1927"/>
      <c r="U374" s="1927"/>
      <c r="V374" s="1927"/>
      <c r="W374" s="1927"/>
      <c r="X374" s="1927"/>
      <c r="Y374" s="1927"/>
      <c r="Z374" s="1927"/>
      <c r="AA374" s="1927"/>
      <c r="AB374" s="1927"/>
      <c r="AC374" s="1927"/>
      <c r="AD374" s="1927"/>
      <c r="AE374" s="1927"/>
      <c r="AF374" s="192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7"/>
      <c r="G375" s="1927"/>
      <c r="H375" s="1927"/>
      <c r="I375" s="1927"/>
      <c r="J375" s="1927"/>
      <c r="K375" s="1927"/>
      <c r="L375" s="1927"/>
      <c r="M375" s="1927"/>
      <c r="N375" s="1927"/>
      <c r="O375" s="1927"/>
      <c r="P375" s="1927"/>
      <c r="Q375" s="1927"/>
      <c r="R375" s="1927"/>
      <c r="S375" s="1927"/>
      <c r="T375" s="1927"/>
      <c r="U375" s="1927"/>
      <c r="V375" s="1927"/>
      <c r="W375" s="1927"/>
      <c r="X375" s="1927"/>
      <c r="Y375" s="1927"/>
      <c r="Z375" s="1927"/>
      <c r="AA375" s="1927"/>
      <c r="AB375" s="1927"/>
      <c r="AC375" s="1927"/>
      <c r="AD375" s="1927"/>
      <c r="AE375" s="1927"/>
      <c r="AF375" s="192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7"/>
      <c r="G376" s="1927"/>
      <c r="H376" s="1927"/>
      <c r="I376" s="1927"/>
      <c r="J376" s="1927"/>
      <c r="K376" s="1927"/>
      <c r="L376" s="1927"/>
      <c r="M376" s="1927"/>
      <c r="N376" s="1927"/>
      <c r="O376" s="1927"/>
      <c r="P376" s="1927"/>
      <c r="Q376" s="1927"/>
      <c r="R376" s="1927"/>
      <c r="S376" s="1927"/>
      <c r="T376" s="1927"/>
      <c r="U376" s="1927"/>
      <c r="V376" s="1927"/>
      <c r="W376" s="1927"/>
      <c r="X376" s="1927"/>
      <c r="Y376" s="1927"/>
      <c r="Z376" s="1927"/>
      <c r="AA376" s="1927"/>
      <c r="AB376" s="1927"/>
      <c r="AC376" s="1927"/>
      <c r="AD376" s="1927"/>
      <c r="AE376" s="1927"/>
      <c r="AF376" s="192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7"/>
      <c r="G377" s="1927"/>
      <c r="H377" s="1927"/>
      <c r="I377" s="1927"/>
      <c r="J377" s="1927"/>
      <c r="K377" s="1927"/>
      <c r="L377" s="1927"/>
      <c r="M377" s="1927"/>
      <c r="N377" s="1927"/>
      <c r="O377" s="1927"/>
      <c r="P377" s="1927"/>
      <c r="Q377" s="1927"/>
      <c r="R377" s="1927"/>
      <c r="S377" s="1927"/>
      <c r="T377" s="1927"/>
      <c r="U377" s="1927"/>
      <c r="V377" s="1927"/>
      <c r="W377" s="1927"/>
      <c r="X377" s="1927"/>
      <c r="Y377" s="1927"/>
      <c r="Z377" s="1927"/>
      <c r="AA377" s="1927"/>
      <c r="AB377" s="1927"/>
      <c r="AC377" s="1927"/>
      <c r="AD377" s="1927"/>
      <c r="AE377" s="1927"/>
      <c r="AF377" s="1927"/>
      <c r="AL377" s="766"/>
      <c r="AN377" s="631"/>
      <c r="BS377" s="30"/>
      <c r="BT377" s="30"/>
      <c r="BU377" s="14"/>
      <c r="BV377" s="14"/>
      <c r="BW377" s="14"/>
      <c r="BX377" s="14"/>
      <c r="BY377" s="14"/>
      <c r="BZ377" s="14"/>
      <c r="CA377" s="14"/>
      <c r="CB377" s="14"/>
      <c r="CC377" s="14"/>
    </row>
    <row r="378" spans="1:81" s="584" customFormat="1" ht="12.75" customHeight="1">
      <c r="A378" s="570"/>
      <c r="B378" s="14"/>
      <c r="C378" s="1936" t="s">
        <v>599</v>
      </c>
      <c r="D378" s="1937"/>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5" t="s">
        <v>1574</v>
      </c>
      <c r="AG378" s="1925"/>
      <c r="AH378" s="1925"/>
      <c r="AI378" s="1925"/>
      <c r="AJ378" s="1925"/>
      <c r="AK378" s="1925"/>
      <c r="AL378" s="193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26" t="s">
        <v>1577</v>
      </c>
      <c r="G381" s="1926"/>
      <c r="H381" s="1926"/>
      <c r="I381" s="1926"/>
      <c r="J381" s="1926"/>
      <c r="K381" s="1926"/>
      <c r="L381" s="1926"/>
      <c r="M381" s="1926"/>
      <c r="N381" s="1926"/>
      <c r="O381" s="1926"/>
      <c r="P381" s="1926"/>
      <c r="Q381" s="1926"/>
      <c r="R381" s="1926"/>
      <c r="S381" s="1926"/>
      <c r="T381" s="1926"/>
      <c r="U381" s="1926"/>
      <c r="V381" s="1926"/>
      <c r="W381" s="1926"/>
      <c r="X381" s="1926"/>
      <c r="Y381" s="1926"/>
      <c r="Z381" s="1926"/>
      <c r="AA381" s="1926"/>
      <c r="AB381" s="1926"/>
      <c r="AC381" s="1926"/>
      <c r="AD381" s="1926"/>
      <c r="AE381" s="1926"/>
      <c r="AF381" s="192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7"/>
      <c r="G382" s="1927"/>
      <c r="H382" s="1927"/>
      <c r="I382" s="1927"/>
      <c r="J382" s="1927"/>
      <c r="K382" s="1927"/>
      <c r="L382" s="1927"/>
      <c r="M382" s="1927"/>
      <c r="N382" s="1927"/>
      <c r="O382" s="1927"/>
      <c r="P382" s="1927"/>
      <c r="Q382" s="1927"/>
      <c r="R382" s="1927"/>
      <c r="S382" s="1927"/>
      <c r="T382" s="1927"/>
      <c r="U382" s="1927"/>
      <c r="V382" s="1927"/>
      <c r="W382" s="1927"/>
      <c r="X382" s="1927"/>
      <c r="Y382" s="1927"/>
      <c r="Z382" s="1927"/>
      <c r="AA382" s="1927"/>
      <c r="AB382" s="1927"/>
      <c r="AC382" s="1927"/>
      <c r="AD382" s="1927"/>
      <c r="AE382" s="1927"/>
      <c r="AF382" s="192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7"/>
      <c r="G383" s="1927"/>
      <c r="H383" s="1927"/>
      <c r="I383" s="1927"/>
      <c r="J383" s="1927"/>
      <c r="K383" s="1927"/>
      <c r="L383" s="1927"/>
      <c r="M383" s="1927"/>
      <c r="N383" s="1927"/>
      <c r="O383" s="1927"/>
      <c r="P383" s="1927"/>
      <c r="Q383" s="1927"/>
      <c r="R383" s="1927"/>
      <c r="S383" s="1927"/>
      <c r="T383" s="1927"/>
      <c r="U383" s="1927"/>
      <c r="V383" s="1927"/>
      <c r="W383" s="1927"/>
      <c r="X383" s="1927"/>
      <c r="Y383" s="1927"/>
      <c r="Z383" s="1927"/>
      <c r="AA383" s="1927"/>
      <c r="AB383" s="1927"/>
      <c r="AC383" s="1927"/>
      <c r="AD383" s="1927"/>
      <c r="AE383" s="1927"/>
      <c r="AF383" s="192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7"/>
      <c r="G384" s="1927"/>
      <c r="H384" s="1927"/>
      <c r="I384" s="1927"/>
      <c r="J384" s="1927"/>
      <c r="K384" s="1927"/>
      <c r="L384" s="1927"/>
      <c r="M384" s="1927"/>
      <c r="N384" s="1927"/>
      <c r="O384" s="1927"/>
      <c r="P384" s="1927"/>
      <c r="Q384" s="1927"/>
      <c r="R384" s="1927"/>
      <c r="S384" s="1927"/>
      <c r="T384" s="1927"/>
      <c r="U384" s="1927"/>
      <c r="V384" s="1927"/>
      <c r="W384" s="1927"/>
      <c r="X384" s="1927"/>
      <c r="Y384" s="1927"/>
      <c r="Z384" s="1927"/>
      <c r="AA384" s="1927"/>
      <c r="AB384" s="1927"/>
      <c r="AC384" s="1927"/>
      <c r="AD384" s="1927"/>
      <c r="AE384" s="1927"/>
      <c r="AF384" s="192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7"/>
      <c r="G385" s="1927"/>
      <c r="H385" s="1927"/>
      <c r="I385" s="1927"/>
      <c r="J385" s="1927"/>
      <c r="K385" s="1927"/>
      <c r="L385" s="1927"/>
      <c r="M385" s="1927"/>
      <c r="N385" s="1927"/>
      <c r="O385" s="1927"/>
      <c r="P385" s="1927"/>
      <c r="Q385" s="1927"/>
      <c r="R385" s="1927"/>
      <c r="S385" s="1927"/>
      <c r="T385" s="1927"/>
      <c r="U385" s="1927"/>
      <c r="V385" s="1927"/>
      <c r="W385" s="1927"/>
      <c r="X385" s="1927"/>
      <c r="Y385" s="1927"/>
      <c r="Z385" s="1927"/>
      <c r="AA385" s="1927"/>
      <c r="AB385" s="1927"/>
      <c r="AC385" s="1927"/>
      <c r="AD385" s="1927"/>
      <c r="AE385" s="1927"/>
      <c r="AF385" s="192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6" t="s">
        <v>553</v>
      </c>
      <c r="D386" s="1937"/>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5" t="s">
        <v>1579</v>
      </c>
      <c r="AG386" s="1925"/>
      <c r="AH386" s="1925"/>
      <c r="AI386" s="1925"/>
      <c r="AJ386" s="1925"/>
      <c r="AK386" s="1925"/>
      <c r="AL386" s="193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6" t="s">
        <v>599</v>
      </c>
      <c r="D388" s="1937"/>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5" t="s">
        <v>1574</v>
      </c>
      <c r="AG388" s="1925"/>
      <c r="AH388" s="1925"/>
      <c r="AI388" s="1925"/>
      <c r="AJ388" s="1925"/>
      <c r="AK388" s="1925"/>
      <c r="AL388" s="193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26" t="s">
        <v>1583</v>
      </c>
      <c r="G392" s="1926"/>
      <c r="H392" s="1926"/>
      <c r="I392" s="1926"/>
      <c r="J392" s="1926"/>
      <c r="K392" s="1926"/>
      <c r="L392" s="1926"/>
      <c r="M392" s="1926"/>
      <c r="N392" s="1926"/>
      <c r="O392" s="1926"/>
      <c r="P392" s="1926"/>
      <c r="Q392" s="1926"/>
      <c r="R392" s="1926"/>
      <c r="S392" s="1926"/>
      <c r="T392" s="1926"/>
      <c r="U392" s="1926"/>
      <c r="V392" s="1926"/>
      <c r="W392" s="1926"/>
      <c r="X392" s="1926"/>
      <c r="Y392" s="1926"/>
      <c r="Z392" s="1926"/>
      <c r="AA392" s="1926"/>
      <c r="AB392" s="1926"/>
      <c r="AC392" s="1926"/>
      <c r="AD392" s="1926"/>
      <c r="AE392" s="1926"/>
      <c r="AF392" s="192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7"/>
      <c r="G393" s="1927"/>
      <c r="H393" s="1927"/>
      <c r="I393" s="1927"/>
      <c r="J393" s="1927"/>
      <c r="K393" s="1927"/>
      <c r="L393" s="1927"/>
      <c r="M393" s="1927"/>
      <c r="N393" s="1927"/>
      <c r="O393" s="1927"/>
      <c r="P393" s="1927"/>
      <c r="Q393" s="1927"/>
      <c r="R393" s="1927"/>
      <c r="S393" s="1927"/>
      <c r="T393" s="1927"/>
      <c r="U393" s="1927"/>
      <c r="V393" s="1927"/>
      <c r="W393" s="1927"/>
      <c r="X393" s="1927"/>
      <c r="Y393" s="1927"/>
      <c r="Z393" s="1927"/>
      <c r="AA393" s="1927"/>
      <c r="AB393" s="1927"/>
      <c r="AC393" s="1927"/>
      <c r="AD393" s="1927"/>
      <c r="AE393" s="1927"/>
      <c r="AF393" s="192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7"/>
      <c r="G394" s="1927"/>
      <c r="H394" s="1927"/>
      <c r="I394" s="1927"/>
      <c r="J394" s="1927"/>
      <c r="K394" s="1927"/>
      <c r="L394" s="1927"/>
      <c r="M394" s="1927"/>
      <c r="N394" s="1927"/>
      <c r="O394" s="1927"/>
      <c r="P394" s="1927"/>
      <c r="Q394" s="1927"/>
      <c r="R394" s="1927"/>
      <c r="S394" s="1927"/>
      <c r="T394" s="1927"/>
      <c r="U394" s="1927"/>
      <c r="V394" s="1927"/>
      <c r="W394" s="1927"/>
      <c r="X394" s="1927"/>
      <c r="Y394" s="1927"/>
      <c r="Z394" s="1927"/>
      <c r="AA394" s="1927"/>
      <c r="AB394" s="1927"/>
      <c r="AC394" s="1927"/>
      <c r="AD394" s="1927"/>
      <c r="AE394" s="1927"/>
      <c r="AF394" s="192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7"/>
      <c r="G395" s="1927"/>
      <c r="H395" s="1927"/>
      <c r="I395" s="1927"/>
      <c r="J395" s="1927"/>
      <c r="K395" s="1927"/>
      <c r="L395" s="1927"/>
      <c r="M395" s="1927"/>
      <c r="N395" s="1927"/>
      <c r="O395" s="1927"/>
      <c r="P395" s="1927"/>
      <c r="Q395" s="1927"/>
      <c r="R395" s="1927"/>
      <c r="S395" s="1927"/>
      <c r="T395" s="1927"/>
      <c r="U395" s="1927"/>
      <c r="V395" s="1927"/>
      <c r="W395" s="1927"/>
      <c r="X395" s="1927"/>
      <c r="Y395" s="1927"/>
      <c r="Z395" s="1927"/>
      <c r="AA395" s="1927"/>
      <c r="AB395" s="1927"/>
      <c r="AC395" s="1927"/>
      <c r="AD395" s="1927"/>
      <c r="AE395" s="1927"/>
      <c r="AF395" s="192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6" t="s">
        <v>599</v>
      </c>
      <c r="D396" s="1937"/>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5" t="s">
        <v>1574</v>
      </c>
      <c r="AG396" s="1925"/>
      <c r="AH396" s="1925"/>
      <c r="AI396" s="1925"/>
      <c r="AJ396" s="1925"/>
      <c r="AK396" s="1925"/>
      <c r="AL396" s="193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6" t="s">
        <v>553</v>
      </c>
      <c r="D398" s="1937"/>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5" t="s">
        <v>1586</v>
      </c>
      <c r="AG398" s="1925"/>
      <c r="AH398" s="1925"/>
      <c r="AI398" s="1925"/>
      <c r="AJ398" s="1925"/>
      <c r="AK398" s="1925"/>
      <c r="AL398" s="193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6" t="s">
        <v>599</v>
      </c>
      <c r="D401" s="1937"/>
      <c r="E401" s="749" t="s">
        <v>1587</v>
      </c>
      <c r="F401" s="1926" t="s">
        <v>1588</v>
      </c>
      <c r="G401" s="1926"/>
      <c r="H401" s="1926"/>
      <c r="I401" s="1926"/>
      <c r="J401" s="1926"/>
      <c r="K401" s="1926"/>
      <c r="L401" s="1926"/>
      <c r="M401" s="1926"/>
      <c r="N401" s="1926"/>
      <c r="O401" s="1926"/>
      <c r="P401" s="1926"/>
      <c r="Q401" s="1926"/>
      <c r="R401" s="1926"/>
      <c r="S401" s="1926"/>
      <c r="T401" s="1926"/>
      <c r="U401" s="1926"/>
      <c r="V401" s="1926"/>
      <c r="W401" s="1926"/>
      <c r="X401" s="1926"/>
      <c r="Y401" s="1926"/>
      <c r="Z401" s="1926"/>
      <c r="AA401" s="1926"/>
      <c r="AB401" s="1926"/>
      <c r="AC401" s="1926"/>
      <c r="AD401" s="1926"/>
      <c r="AE401" s="192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7"/>
      <c r="G402" s="1927"/>
      <c r="H402" s="1927"/>
      <c r="I402" s="1927"/>
      <c r="J402" s="1927"/>
      <c r="K402" s="1927"/>
      <c r="L402" s="1927"/>
      <c r="M402" s="1927"/>
      <c r="N402" s="1927"/>
      <c r="O402" s="1927"/>
      <c r="P402" s="1927"/>
      <c r="Q402" s="1927"/>
      <c r="R402" s="1927"/>
      <c r="S402" s="1927"/>
      <c r="T402" s="1927"/>
      <c r="U402" s="1927"/>
      <c r="V402" s="1927"/>
      <c r="W402" s="1927"/>
      <c r="X402" s="1927"/>
      <c r="Y402" s="1927"/>
      <c r="Z402" s="1927"/>
      <c r="AA402" s="1927"/>
      <c r="AB402" s="1927"/>
      <c r="AC402" s="1927"/>
      <c r="AD402" s="1927"/>
      <c r="AE402" s="1927"/>
      <c r="AF402" s="1995" t="s">
        <v>1574</v>
      </c>
      <c r="AG402" s="1995"/>
      <c r="AH402" s="1995"/>
      <c r="AI402" s="1995"/>
      <c r="AJ402" s="1995"/>
      <c r="AK402" s="1995"/>
      <c r="AL402" s="2025"/>
      <c r="AM402" s="604"/>
      <c r="AN402" s="631"/>
      <c r="BS402" s="604"/>
      <c r="BT402" s="604"/>
      <c r="BY402" s="604"/>
      <c r="BZ402" s="604"/>
      <c r="CA402" s="604"/>
      <c r="CB402" s="604"/>
      <c r="CC402" s="604"/>
    </row>
    <row r="403" spans="1:81" s="584" customFormat="1" ht="12.75" customHeight="1">
      <c r="A403" s="570"/>
      <c r="B403" s="14"/>
      <c r="C403" s="765"/>
      <c r="D403" s="14"/>
      <c r="E403" s="725"/>
      <c r="F403" s="1927"/>
      <c r="G403" s="1927"/>
      <c r="H403" s="1927"/>
      <c r="I403" s="1927"/>
      <c r="J403" s="1927"/>
      <c r="K403" s="1927"/>
      <c r="L403" s="1927"/>
      <c r="M403" s="1927"/>
      <c r="N403" s="1927"/>
      <c r="O403" s="1927"/>
      <c r="P403" s="1927"/>
      <c r="Q403" s="1927"/>
      <c r="R403" s="1927"/>
      <c r="S403" s="1927"/>
      <c r="T403" s="1927"/>
      <c r="U403" s="1927"/>
      <c r="V403" s="1927"/>
      <c r="W403" s="1927"/>
      <c r="X403" s="1927"/>
      <c r="Y403" s="1927"/>
      <c r="Z403" s="1927"/>
      <c r="AA403" s="1927"/>
      <c r="AB403" s="1927"/>
      <c r="AC403" s="1927"/>
      <c r="AD403" s="1927"/>
      <c r="AE403" s="192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9"/>
      <c r="G404" s="2009"/>
      <c r="H404" s="2009"/>
      <c r="I404" s="2009"/>
      <c r="J404" s="2009"/>
      <c r="K404" s="2009"/>
      <c r="L404" s="2009"/>
      <c r="M404" s="2009"/>
      <c r="N404" s="2009"/>
      <c r="O404" s="2009"/>
      <c r="P404" s="2009"/>
      <c r="Q404" s="2009"/>
      <c r="R404" s="2009"/>
      <c r="S404" s="2009"/>
      <c r="T404" s="2009"/>
      <c r="U404" s="2009"/>
      <c r="V404" s="2009"/>
      <c r="W404" s="2009"/>
      <c r="X404" s="2009"/>
      <c r="Y404" s="2009"/>
      <c r="Z404" s="2009"/>
      <c r="AA404" s="2009"/>
      <c r="AB404" s="2009"/>
      <c r="AC404" s="2009"/>
      <c r="AD404" s="2009"/>
      <c r="AE404" s="200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26" t="s">
        <v>1590</v>
      </c>
      <c r="G406" s="1926"/>
      <c r="H406" s="1926"/>
      <c r="I406" s="1926"/>
      <c r="J406" s="1926"/>
      <c r="K406" s="1926"/>
      <c r="L406" s="1926"/>
      <c r="M406" s="1926"/>
      <c r="N406" s="1926"/>
      <c r="O406" s="1926"/>
      <c r="P406" s="1926"/>
      <c r="Q406" s="1926"/>
      <c r="R406" s="1926"/>
      <c r="S406" s="1926"/>
      <c r="T406" s="1926"/>
      <c r="U406" s="1926"/>
      <c r="V406" s="1926"/>
      <c r="W406" s="1926"/>
      <c r="X406" s="1926"/>
      <c r="Y406" s="1926"/>
      <c r="Z406" s="1926"/>
      <c r="AA406" s="1926"/>
      <c r="AB406" s="1926"/>
      <c r="AC406" s="1926"/>
      <c r="AD406" s="1926"/>
      <c r="AE406" s="1926"/>
      <c r="AF406" s="781"/>
      <c r="AG406" s="781"/>
      <c r="AH406" s="781"/>
      <c r="AI406" s="781"/>
      <c r="AJ406" s="781"/>
      <c r="AK406" s="781"/>
      <c r="AL406" s="782"/>
      <c r="AM406" s="604"/>
    </row>
    <row r="407" spans="1:81">
      <c r="A407" s="570"/>
      <c r="C407" s="765"/>
      <c r="E407" s="725"/>
      <c r="F407" s="1927"/>
      <c r="G407" s="1927"/>
      <c r="H407" s="1927"/>
      <c r="I407" s="1927"/>
      <c r="J407" s="1927"/>
      <c r="K407" s="1927"/>
      <c r="L407" s="1927"/>
      <c r="M407" s="1927"/>
      <c r="N407" s="1927"/>
      <c r="O407" s="1927"/>
      <c r="P407" s="1927"/>
      <c r="Q407" s="1927"/>
      <c r="R407" s="1927"/>
      <c r="S407" s="1927"/>
      <c r="T407" s="1927"/>
      <c r="U407" s="1927"/>
      <c r="V407" s="1927"/>
      <c r="W407" s="1927"/>
      <c r="X407" s="1927"/>
      <c r="Y407" s="1927"/>
      <c r="Z407" s="1927"/>
      <c r="AA407" s="1927"/>
      <c r="AB407" s="1927"/>
      <c r="AC407" s="1927"/>
      <c r="AD407" s="1927"/>
      <c r="AE407" s="1927"/>
      <c r="AF407" s="573"/>
      <c r="AG407" s="570"/>
      <c r="AH407" s="584"/>
      <c r="AI407" s="584"/>
      <c r="AJ407" s="584"/>
      <c r="AK407" s="584"/>
      <c r="AL407" s="766"/>
      <c r="AM407" s="604"/>
    </row>
    <row r="408" spans="1:81" s="584" customFormat="1" ht="12.75" customHeight="1">
      <c r="A408" s="570"/>
      <c r="B408" s="14"/>
      <c r="C408" s="765"/>
      <c r="D408" s="14"/>
      <c r="E408" s="725"/>
      <c r="F408" s="1927"/>
      <c r="G408" s="1927"/>
      <c r="H408" s="1927"/>
      <c r="I408" s="1927"/>
      <c r="J408" s="1927"/>
      <c r="K408" s="1927"/>
      <c r="L408" s="1927"/>
      <c r="M408" s="1927"/>
      <c r="N408" s="1927"/>
      <c r="O408" s="1927"/>
      <c r="P408" s="1927"/>
      <c r="Q408" s="1927"/>
      <c r="R408" s="1927"/>
      <c r="S408" s="1927"/>
      <c r="T408" s="1927"/>
      <c r="U408" s="1927"/>
      <c r="V408" s="1927"/>
      <c r="W408" s="1927"/>
      <c r="X408" s="1927"/>
      <c r="Y408" s="1927"/>
      <c r="Z408" s="1927"/>
      <c r="AA408" s="1927"/>
      <c r="AB408" s="1927"/>
      <c r="AC408" s="1927"/>
      <c r="AD408" s="1927"/>
      <c r="AE408" s="1927"/>
      <c r="AL408" s="766"/>
      <c r="AM408" s="604"/>
      <c r="AN408" s="631"/>
    </row>
    <row r="409" spans="1:81" s="584" customFormat="1" ht="12.75" customHeight="1">
      <c r="A409" s="570"/>
      <c r="B409" s="14"/>
      <c r="C409" s="773"/>
      <c r="F409" s="1927"/>
      <c r="G409" s="1927"/>
      <c r="H409" s="1927"/>
      <c r="I409" s="1927"/>
      <c r="J409" s="1927"/>
      <c r="K409" s="1927"/>
      <c r="L409" s="1927"/>
      <c r="M409" s="1927"/>
      <c r="N409" s="1927"/>
      <c r="O409" s="1927"/>
      <c r="P409" s="1927"/>
      <c r="Q409" s="1927"/>
      <c r="R409" s="1927"/>
      <c r="S409" s="1927"/>
      <c r="T409" s="1927"/>
      <c r="U409" s="1927"/>
      <c r="V409" s="1927"/>
      <c r="W409" s="1927"/>
      <c r="X409" s="1927"/>
      <c r="Y409" s="1927"/>
      <c r="Z409" s="1927"/>
      <c r="AA409" s="1927"/>
      <c r="AB409" s="1927"/>
      <c r="AC409" s="1927"/>
      <c r="AD409" s="1927"/>
      <c r="AE409" s="1927"/>
      <c r="AL409" s="766"/>
      <c r="AM409" s="604"/>
      <c r="AN409" s="631"/>
    </row>
    <row r="410" spans="1:81" s="584" customFormat="1" ht="12.75" customHeight="1">
      <c r="A410" s="570"/>
      <c r="B410" s="14"/>
      <c r="C410" s="1936" t="s">
        <v>599</v>
      </c>
      <c r="D410" s="1937"/>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5" t="s">
        <v>1574</v>
      </c>
      <c r="AG410" s="1995"/>
      <c r="AH410" s="1995"/>
      <c r="AI410" s="1995"/>
      <c r="AJ410" s="1995"/>
      <c r="AK410" s="1995"/>
      <c r="AL410" s="2025"/>
      <c r="AM410" s="604"/>
      <c r="AN410" s="631"/>
    </row>
    <row r="411" spans="1:81" s="584" customFormat="1" ht="12.75" customHeight="1">
      <c r="A411" s="570"/>
      <c r="B411" s="14"/>
      <c r="C411" s="773"/>
      <c r="AL411" s="766"/>
      <c r="AM411" s="604"/>
      <c r="AN411" s="631"/>
    </row>
    <row r="412" spans="1:81" s="584" customFormat="1" ht="12.75" customHeight="1">
      <c r="A412" s="570"/>
      <c r="B412" s="14"/>
      <c r="C412" s="1936" t="s">
        <v>599</v>
      </c>
      <c r="D412" s="1937"/>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5" t="s">
        <v>1586</v>
      </c>
      <c r="AG412" s="1995"/>
      <c r="AH412" s="1995"/>
      <c r="AI412" s="1995"/>
      <c r="AJ412" s="1995"/>
      <c r="AK412" s="1995"/>
      <c r="AL412" s="2025"/>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26" t="s">
        <v>1594</v>
      </c>
      <c r="G416" s="1926"/>
      <c r="H416" s="1926"/>
      <c r="I416" s="1926"/>
      <c r="J416" s="1926"/>
      <c r="K416" s="1926"/>
      <c r="L416" s="1926"/>
      <c r="M416" s="1926"/>
      <c r="N416" s="1926"/>
      <c r="O416" s="1926"/>
      <c r="P416" s="1926"/>
      <c r="Q416" s="1926"/>
      <c r="R416" s="1926"/>
      <c r="S416" s="1926"/>
      <c r="T416" s="1926"/>
      <c r="U416" s="1926"/>
      <c r="V416" s="1926"/>
      <c r="W416" s="1926"/>
      <c r="X416" s="1926"/>
      <c r="Y416" s="1926"/>
      <c r="Z416" s="1926"/>
      <c r="AA416" s="1926"/>
      <c r="AB416" s="1926"/>
      <c r="AC416" s="1926"/>
      <c r="AD416" s="1926"/>
      <c r="AE416" s="1926"/>
      <c r="AF416" s="748"/>
      <c r="AG416" s="748"/>
      <c r="AH416" s="748"/>
      <c r="AI416" s="748"/>
      <c r="AJ416" s="748"/>
      <c r="AK416" s="748"/>
      <c r="AL416" s="779"/>
      <c r="AM416" s="604"/>
      <c r="AN416" s="631"/>
    </row>
    <row r="417" spans="1:60" s="584" customFormat="1" ht="12.75" customHeight="1">
      <c r="A417" s="570"/>
      <c r="B417" s="14"/>
      <c r="C417" s="765"/>
      <c r="D417" s="14"/>
      <c r="E417" s="725"/>
      <c r="F417" s="1927"/>
      <c r="G417" s="1927"/>
      <c r="H417" s="1927"/>
      <c r="I417" s="1927"/>
      <c r="J417" s="1927"/>
      <c r="K417" s="1927"/>
      <c r="L417" s="1927"/>
      <c r="M417" s="1927"/>
      <c r="N417" s="1927"/>
      <c r="O417" s="1927"/>
      <c r="P417" s="1927"/>
      <c r="Q417" s="1927"/>
      <c r="R417" s="1927"/>
      <c r="S417" s="1927"/>
      <c r="T417" s="1927"/>
      <c r="U417" s="1927"/>
      <c r="V417" s="1927"/>
      <c r="W417" s="1927"/>
      <c r="X417" s="1927"/>
      <c r="Y417" s="1927"/>
      <c r="Z417" s="1927"/>
      <c r="AA417" s="1927"/>
      <c r="AB417" s="1927"/>
      <c r="AC417" s="1927"/>
      <c r="AD417" s="1927"/>
      <c r="AE417" s="1927"/>
      <c r="AF417" s="573"/>
      <c r="AG417" s="570"/>
      <c r="AL417" s="766"/>
      <c r="AM417" s="604"/>
      <c r="AN417" s="631"/>
    </row>
    <row r="418" spans="1:60" s="584" customFormat="1" ht="12.45" customHeight="1">
      <c r="A418" s="570"/>
      <c r="B418" s="14"/>
      <c r="C418" s="765"/>
      <c r="D418" s="14"/>
      <c r="E418" s="725"/>
      <c r="F418" s="1927"/>
      <c r="G418" s="1927"/>
      <c r="H418" s="1927"/>
      <c r="I418" s="1927"/>
      <c r="J418" s="1927"/>
      <c r="K418" s="1927"/>
      <c r="L418" s="1927"/>
      <c r="M418" s="1927"/>
      <c r="N418" s="1927"/>
      <c r="O418" s="1927"/>
      <c r="P418" s="1927"/>
      <c r="Q418" s="1927"/>
      <c r="R418" s="1927"/>
      <c r="S418" s="1927"/>
      <c r="T418" s="1927"/>
      <c r="U418" s="1927"/>
      <c r="V418" s="1927"/>
      <c r="W418" s="1927"/>
      <c r="X418" s="1927"/>
      <c r="Y418" s="1927"/>
      <c r="Z418" s="1927"/>
      <c r="AA418" s="1927"/>
      <c r="AB418" s="1927"/>
      <c r="AC418" s="1927"/>
      <c r="AD418" s="1927"/>
      <c r="AE418" s="1927"/>
      <c r="AL418" s="766"/>
      <c r="AM418" s="604"/>
      <c r="AN418" s="631"/>
    </row>
    <row r="419" spans="1:60" s="584" customFormat="1" ht="12.75" customHeight="1">
      <c r="A419" s="570"/>
      <c r="B419" s="14"/>
      <c r="C419" s="1936" t="s">
        <v>599</v>
      </c>
      <c r="D419" s="1937"/>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5" t="s">
        <v>1574</v>
      </c>
      <c r="AG419" s="1995"/>
      <c r="AH419" s="1995"/>
      <c r="AI419" s="1995"/>
      <c r="AJ419" s="1995"/>
      <c r="AK419" s="1995"/>
      <c r="AL419" s="2025"/>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1596</v>
      </c>
      <c r="F422" s="1926" t="s">
        <v>1597</v>
      </c>
      <c r="G422" s="1926"/>
      <c r="H422" s="1926"/>
      <c r="I422" s="1926"/>
      <c r="J422" s="1926"/>
      <c r="K422" s="1926"/>
      <c r="L422" s="1926"/>
      <c r="M422" s="1926"/>
      <c r="N422" s="1926"/>
      <c r="O422" s="1926"/>
      <c r="P422" s="1926"/>
      <c r="Q422" s="1926"/>
      <c r="R422" s="1926"/>
      <c r="S422" s="1926"/>
      <c r="T422" s="1926"/>
      <c r="U422" s="1926"/>
      <c r="V422" s="1926"/>
      <c r="W422" s="1926"/>
      <c r="X422" s="1926"/>
      <c r="Y422" s="1926"/>
      <c r="Z422" s="1926"/>
      <c r="AA422" s="1926"/>
      <c r="AB422" s="1926"/>
      <c r="AC422" s="1926"/>
      <c r="AD422" s="1926"/>
      <c r="AE422" s="1926"/>
      <c r="AF422" s="781"/>
      <c r="AG422" s="781"/>
      <c r="AH422" s="781"/>
      <c r="AI422" s="781"/>
      <c r="AJ422" s="781"/>
      <c r="AK422" s="781"/>
      <c r="AL422" s="782"/>
      <c r="AM422" s="604"/>
      <c r="AO422" s="584"/>
      <c r="AP422" s="584"/>
      <c r="BD422" s="14"/>
      <c r="BE422" s="14"/>
      <c r="BF422" s="14"/>
      <c r="BG422" s="14"/>
      <c r="BH422" s="14"/>
    </row>
    <row r="423" spans="1:60">
      <c r="A423" s="570"/>
      <c r="C423" s="765"/>
      <c r="E423" s="725"/>
      <c r="F423" s="1927"/>
      <c r="G423" s="1927"/>
      <c r="H423" s="1927"/>
      <c r="I423" s="1927"/>
      <c r="J423" s="1927"/>
      <c r="K423" s="1927"/>
      <c r="L423" s="1927"/>
      <c r="M423" s="1927"/>
      <c r="N423" s="1927"/>
      <c r="O423" s="1927"/>
      <c r="P423" s="1927"/>
      <c r="Q423" s="1927"/>
      <c r="R423" s="1927"/>
      <c r="S423" s="1927"/>
      <c r="T423" s="1927"/>
      <c r="U423" s="1927"/>
      <c r="V423" s="1927"/>
      <c r="W423" s="1927"/>
      <c r="X423" s="1927"/>
      <c r="Y423" s="1927"/>
      <c r="Z423" s="1927"/>
      <c r="AA423" s="1927"/>
      <c r="AB423" s="1927"/>
      <c r="AC423" s="1927"/>
      <c r="AD423" s="1927"/>
      <c r="AE423" s="1927"/>
      <c r="AF423" s="628"/>
      <c r="AG423" s="628"/>
      <c r="AH423" s="628"/>
      <c r="AI423" s="628"/>
      <c r="AJ423" s="628"/>
      <c r="AK423" s="628"/>
      <c r="AL423" s="784"/>
      <c r="AM423" s="604"/>
      <c r="AO423" s="584"/>
      <c r="AP423" s="584"/>
    </row>
    <row r="424" spans="1:60" s="584" customFormat="1" ht="12.75" customHeight="1">
      <c r="A424" s="570"/>
      <c r="B424" s="14"/>
      <c r="C424" s="765"/>
      <c r="D424" s="14"/>
      <c r="E424" s="725"/>
      <c r="F424" s="1927"/>
      <c r="G424" s="1927"/>
      <c r="H424" s="1927"/>
      <c r="I424" s="1927"/>
      <c r="J424" s="1927"/>
      <c r="K424" s="1927"/>
      <c r="L424" s="1927"/>
      <c r="M424" s="1927"/>
      <c r="N424" s="1927"/>
      <c r="O424" s="1927"/>
      <c r="P424" s="1927"/>
      <c r="Q424" s="1927"/>
      <c r="R424" s="1927"/>
      <c r="S424" s="1927"/>
      <c r="T424" s="1927"/>
      <c r="U424" s="1927"/>
      <c r="V424" s="1927"/>
      <c r="W424" s="1927"/>
      <c r="X424" s="1927"/>
      <c r="Y424" s="1927"/>
      <c r="Z424" s="1927"/>
      <c r="AA424" s="1927"/>
      <c r="AB424" s="1927"/>
      <c r="AC424" s="1927"/>
      <c r="AD424" s="1927"/>
      <c r="AE424" s="1927"/>
      <c r="AF424" s="628"/>
      <c r="AG424" s="628"/>
      <c r="AH424" s="628"/>
      <c r="AI424" s="628"/>
      <c r="AJ424" s="628"/>
      <c r="AK424" s="628"/>
      <c r="AL424" s="784"/>
      <c r="AM424" s="604"/>
      <c r="AN424" s="631"/>
    </row>
    <row r="425" spans="1:60" s="584" customFormat="1" ht="12.75" customHeight="1">
      <c r="A425" s="570"/>
      <c r="B425" s="14"/>
      <c r="C425" s="785"/>
      <c r="D425" s="764"/>
      <c r="E425" s="753"/>
      <c r="F425" s="1927"/>
      <c r="G425" s="1927"/>
      <c r="H425" s="1927"/>
      <c r="I425" s="1927"/>
      <c r="J425" s="1927"/>
      <c r="K425" s="1927"/>
      <c r="L425" s="1927"/>
      <c r="M425" s="1927"/>
      <c r="N425" s="1927"/>
      <c r="O425" s="1927"/>
      <c r="P425" s="1927"/>
      <c r="Q425" s="1927"/>
      <c r="R425" s="1927"/>
      <c r="S425" s="1927"/>
      <c r="T425" s="1927"/>
      <c r="U425" s="1927"/>
      <c r="V425" s="1927"/>
      <c r="W425" s="1927"/>
      <c r="X425" s="1927"/>
      <c r="Y425" s="1927"/>
      <c r="Z425" s="1927"/>
      <c r="AA425" s="1927"/>
      <c r="AB425" s="1927"/>
      <c r="AC425" s="1927"/>
      <c r="AD425" s="1927"/>
      <c r="AE425" s="1927"/>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7"/>
      <c r="G426" s="1927"/>
      <c r="H426" s="1927"/>
      <c r="I426" s="1927"/>
      <c r="J426" s="1927"/>
      <c r="K426" s="1927"/>
      <c r="L426" s="1927"/>
      <c r="M426" s="1927"/>
      <c r="N426" s="1927"/>
      <c r="O426" s="1927"/>
      <c r="P426" s="1927"/>
      <c r="Q426" s="1927"/>
      <c r="R426" s="1927"/>
      <c r="S426" s="1927"/>
      <c r="T426" s="1927"/>
      <c r="U426" s="1927"/>
      <c r="V426" s="1927"/>
      <c r="W426" s="1927"/>
      <c r="X426" s="1927"/>
      <c r="Y426" s="1927"/>
      <c r="Z426" s="1927"/>
      <c r="AA426" s="1927"/>
      <c r="AB426" s="1927"/>
      <c r="AC426" s="1927"/>
      <c r="AD426" s="1927"/>
      <c r="AE426" s="1927"/>
      <c r="AF426" s="628"/>
      <c r="AG426" s="628"/>
      <c r="AH426" s="628"/>
      <c r="AI426" s="628"/>
      <c r="AJ426" s="628"/>
      <c r="AK426" s="628"/>
      <c r="AL426" s="784"/>
      <c r="AM426" s="604"/>
      <c r="AN426" s="631"/>
    </row>
    <row r="427" spans="1:60" s="584" customFormat="1" ht="12.75" customHeight="1">
      <c r="A427" s="570"/>
      <c r="B427" s="14"/>
      <c r="C427" s="785"/>
      <c r="D427" s="764"/>
      <c r="E427" s="753"/>
      <c r="F427" s="1927"/>
      <c r="G427" s="1927"/>
      <c r="H427" s="1927"/>
      <c r="I427" s="1927"/>
      <c r="J427" s="1927"/>
      <c r="K427" s="1927"/>
      <c r="L427" s="1927"/>
      <c r="M427" s="1927"/>
      <c r="N427" s="1927"/>
      <c r="O427" s="1927"/>
      <c r="P427" s="1927"/>
      <c r="Q427" s="1927"/>
      <c r="R427" s="1927"/>
      <c r="S427" s="1927"/>
      <c r="T427" s="1927"/>
      <c r="U427" s="1927"/>
      <c r="V427" s="1927"/>
      <c r="W427" s="1927"/>
      <c r="X427" s="1927"/>
      <c r="Y427" s="1927"/>
      <c r="Z427" s="1927"/>
      <c r="AA427" s="1927"/>
      <c r="AB427" s="1927"/>
      <c r="AC427" s="1927"/>
      <c r="AD427" s="1927"/>
      <c r="AE427" s="1927"/>
      <c r="AF427" s="628"/>
      <c r="AG427" s="628"/>
      <c r="AH427" s="628"/>
      <c r="AI427" s="628"/>
      <c r="AJ427" s="628"/>
      <c r="AK427" s="628"/>
      <c r="AL427" s="784"/>
      <c r="AM427" s="604"/>
      <c r="AN427" s="631"/>
    </row>
    <row r="428" spans="1:60" s="584" customFormat="1" ht="12.75" customHeight="1">
      <c r="A428" s="570"/>
      <c r="B428" s="14"/>
      <c r="C428" s="785"/>
      <c r="D428" s="764"/>
      <c r="E428" s="753"/>
      <c r="F428" s="1927"/>
      <c r="G428" s="1927"/>
      <c r="H428" s="1927"/>
      <c r="I428" s="1927"/>
      <c r="J428" s="1927"/>
      <c r="K428" s="1927"/>
      <c r="L428" s="1927"/>
      <c r="M428" s="1927"/>
      <c r="N428" s="1927"/>
      <c r="O428" s="1927"/>
      <c r="P428" s="1927"/>
      <c r="Q428" s="1927"/>
      <c r="R428" s="1927"/>
      <c r="S428" s="1927"/>
      <c r="T428" s="1927"/>
      <c r="U428" s="1927"/>
      <c r="V428" s="1927"/>
      <c r="W428" s="1927"/>
      <c r="X428" s="1927"/>
      <c r="Y428" s="1927"/>
      <c r="Z428" s="1927"/>
      <c r="AA428" s="1927"/>
      <c r="AB428" s="1927"/>
      <c r="AC428" s="1927"/>
      <c r="AD428" s="1927"/>
      <c r="AE428" s="1927"/>
      <c r="AF428" s="628"/>
      <c r="AG428" s="628"/>
      <c r="AH428" s="628"/>
      <c r="AI428" s="628"/>
      <c r="AJ428" s="628"/>
      <c r="AK428" s="628"/>
      <c r="AL428" s="784"/>
      <c r="AM428" s="604"/>
      <c r="AN428" s="631"/>
    </row>
    <row r="429" spans="1:60" s="584" customFormat="1" ht="12.75" customHeight="1">
      <c r="A429" s="570"/>
      <c r="B429" s="14"/>
      <c r="C429" s="785"/>
      <c r="D429" s="764"/>
      <c r="E429" s="753"/>
      <c r="F429" s="1927"/>
      <c r="G429" s="1927"/>
      <c r="H429" s="1927"/>
      <c r="I429" s="1927"/>
      <c r="J429" s="1927"/>
      <c r="K429" s="1927"/>
      <c r="L429" s="1927"/>
      <c r="M429" s="1927"/>
      <c r="N429" s="1927"/>
      <c r="O429" s="1927"/>
      <c r="P429" s="1927"/>
      <c r="Q429" s="1927"/>
      <c r="R429" s="1927"/>
      <c r="S429" s="1927"/>
      <c r="T429" s="1927"/>
      <c r="U429" s="1927"/>
      <c r="V429" s="1927"/>
      <c r="W429" s="1927"/>
      <c r="X429" s="1927"/>
      <c r="Y429" s="1927"/>
      <c r="Z429" s="1927"/>
      <c r="AA429" s="1927"/>
      <c r="AB429" s="1927"/>
      <c r="AC429" s="1927"/>
      <c r="AD429" s="1927"/>
      <c r="AE429" s="1927"/>
      <c r="AF429" s="628"/>
      <c r="AG429" s="628"/>
      <c r="AH429" s="628"/>
      <c r="AI429" s="628"/>
      <c r="AJ429" s="628"/>
      <c r="AK429" s="628"/>
      <c r="AL429" s="784"/>
      <c r="AM429" s="604"/>
      <c r="AN429" s="631"/>
    </row>
    <row r="430" spans="1:60" s="584" customFormat="1" ht="17.25" customHeight="1">
      <c r="A430" s="570"/>
      <c r="B430" s="14"/>
      <c r="C430" s="785"/>
      <c r="D430" s="764"/>
      <c r="E430" s="753"/>
      <c r="F430" s="1927"/>
      <c r="G430" s="1927"/>
      <c r="H430" s="1927"/>
      <c r="I430" s="1927"/>
      <c r="J430" s="1927"/>
      <c r="K430" s="1927"/>
      <c r="L430" s="1927"/>
      <c r="M430" s="1927"/>
      <c r="N430" s="1927"/>
      <c r="O430" s="1927"/>
      <c r="P430" s="1927"/>
      <c r="Q430" s="1927"/>
      <c r="R430" s="1927"/>
      <c r="S430" s="1927"/>
      <c r="T430" s="1927"/>
      <c r="U430" s="1927"/>
      <c r="V430" s="1927"/>
      <c r="W430" s="1927"/>
      <c r="X430" s="1927"/>
      <c r="Y430" s="1927"/>
      <c r="Z430" s="1927"/>
      <c r="AA430" s="1927"/>
      <c r="AB430" s="1927"/>
      <c r="AC430" s="1927"/>
      <c r="AD430" s="1927"/>
      <c r="AE430" s="1927"/>
      <c r="AL430" s="766"/>
      <c r="AM430" s="604"/>
      <c r="AN430" s="631"/>
    </row>
    <row r="431" spans="1:60" s="584" customFormat="1" ht="12.75" customHeight="1">
      <c r="A431" s="570"/>
      <c r="B431" s="14"/>
      <c r="C431" s="1936" t="s">
        <v>599</v>
      </c>
      <c r="D431" s="1937"/>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5" t="s">
        <v>1574</v>
      </c>
      <c r="AG431" s="1995"/>
      <c r="AH431" s="1995"/>
      <c r="AI431" s="1995"/>
      <c r="AJ431" s="1995"/>
      <c r="AK431" s="1995"/>
      <c r="AL431" s="2025"/>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26" t="s">
        <v>1600</v>
      </c>
      <c r="G434" s="1926"/>
      <c r="H434" s="1926"/>
      <c r="I434" s="1926"/>
      <c r="J434" s="1926"/>
      <c r="K434" s="1926"/>
      <c r="L434" s="1926"/>
      <c r="M434" s="1926"/>
      <c r="N434" s="1926"/>
      <c r="O434" s="1926"/>
      <c r="P434" s="1926"/>
      <c r="Q434" s="1926"/>
      <c r="R434" s="1926"/>
      <c r="S434" s="1926"/>
      <c r="T434" s="1926"/>
      <c r="U434" s="1926"/>
      <c r="V434" s="1926"/>
      <c r="W434" s="1926"/>
      <c r="X434" s="1926"/>
      <c r="Y434" s="1926"/>
      <c r="Z434" s="1926"/>
      <c r="AA434" s="1926"/>
      <c r="AB434" s="1926"/>
      <c r="AC434" s="1926"/>
      <c r="AD434" s="1926"/>
      <c r="AE434" s="1926"/>
      <c r="AF434" s="748"/>
      <c r="AG434" s="748"/>
      <c r="AH434" s="748"/>
      <c r="AI434" s="748"/>
      <c r="AJ434" s="748"/>
      <c r="AK434" s="748"/>
      <c r="AL434" s="779"/>
      <c r="AM434" s="604"/>
      <c r="AN434" s="631"/>
    </row>
    <row r="435" spans="1:40" s="584" customFormat="1" ht="12.75" customHeight="1">
      <c r="A435" s="570"/>
      <c r="B435" s="14"/>
      <c r="C435" s="785"/>
      <c r="D435" s="764"/>
      <c r="E435" s="753"/>
      <c r="F435" s="1927"/>
      <c r="G435" s="1927"/>
      <c r="H435" s="1927"/>
      <c r="I435" s="1927"/>
      <c r="J435" s="1927"/>
      <c r="K435" s="1927"/>
      <c r="L435" s="1927"/>
      <c r="M435" s="1927"/>
      <c r="N435" s="1927"/>
      <c r="O435" s="1927"/>
      <c r="P435" s="1927"/>
      <c r="Q435" s="1927"/>
      <c r="R435" s="1927"/>
      <c r="S435" s="1927"/>
      <c r="T435" s="1927"/>
      <c r="U435" s="1927"/>
      <c r="V435" s="1927"/>
      <c r="W435" s="1927"/>
      <c r="X435" s="1927"/>
      <c r="Y435" s="1927"/>
      <c r="Z435" s="1927"/>
      <c r="AA435" s="1927"/>
      <c r="AB435" s="1927"/>
      <c r="AC435" s="1927"/>
      <c r="AD435" s="1927"/>
      <c r="AE435" s="1927"/>
      <c r="AF435" s="625"/>
      <c r="AG435" s="625"/>
      <c r="AH435" s="625"/>
      <c r="AI435" s="625"/>
      <c r="AJ435" s="625"/>
      <c r="AK435" s="625"/>
      <c r="AL435" s="754"/>
      <c r="AM435" s="604"/>
      <c r="AN435" s="631"/>
    </row>
    <row r="436" spans="1:40" s="584" customFormat="1" ht="12.75" customHeight="1">
      <c r="A436" s="570"/>
      <c r="B436" s="14"/>
      <c r="C436" s="785"/>
      <c r="D436" s="764"/>
      <c r="E436" s="753"/>
      <c r="F436" s="1927"/>
      <c r="G436" s="1927"/>
      <c r="H436" s="1927"/>
      <c r="I436" s="1927"/>
      <c r="J436" s="1927"/>
      <c r="K436" s="1927"/>
      <c r="L436" s="1927"/>
      <c r="M436" s="1927"/>
      <c r="N436" s="1927"/>
      <c r="O436" s="1927"/>
      <c r="P436" s="1927"/>
      <c r="Q436" s="1927"/>
      <c r="R436" s="1927"/>
      <c r="S436" s="1927"/>
      <c r="T436" s="1927"/>
      <c r="U436" s="1927"/>
      <c r="V436" s="1927"/>
      <c r="W436" s="1927"/>
      <c r="X436" s="1927"/>
      <c r="Y436" s="1927"/>
      <c r="Z436" s="1927"/>
      <c r="AA436" s="1927"/>
      <c r="AB436" s="1927"/>
      <c r="AC436" s="1927"/>
      <c r="AD436" s="1927"/>
      <c r="AE436" s="1927"/>
      <c r="AF436" s="625"/>
      <c r="AG436" s="625"/>
      <c r="AH436" s="625"/>
      <c r="AI436" s="625"/>
      <c r="AJ436" s="625"/>
      <c r="AK436" s="625"/>
      <c r="AL436" s="754"/>
      <c r="AM436" s="604"/>
      <c r="AN436" s="631"/>
    </row>
    <row r="437" spans="1:40" s="584" customFormat="1" ht="12.75" customHeight="1">
      <c r="A437" s="570"/>
      <c r="B437" s="14"/>
      <c r="C437" s="785"/>
      <c r="D437" s="764"/>
      <c r="E437" s="753"/>
      <c r="F437" s="1927"/>
      <c r="G437" s="1927"/>
      <c r="H437" s="1927"/>
      <c r="I437" s="1927"/>
      <c r="J437" s="1927"/>
      <c r="K437" s="1927"/>
      <c r="L437" s="1927"/>
      <c r="M437" s="1927"/>
      <c r="N437" s="1927"/>
      <c r="O437" s="1927"/>
      <c r="P437" s="1927"/>
      <c r="Q437" s="1927"/>
      <c r="R437" s="1927"/>
      <c r="S437" s="1927"/>
      <c r="T437" s="1927"/>
      <c r="U437" s="1927"/>
      <c r="V437" s="1927"/>
      <c r="W437" s="1927"/>
      <c r="X437" s="1927"/>
      <c r="Y437" s="1927"/>
      <c r="Z437" s="1927"/>
      <c r="AA437" s="1927"/>
      <c r="AB437" s="1927"/>
      <c r="AC437" s="1927"/>
      <c r="AD437" s="1927"/>
      <c r="AE437" s="1927"/>
      <c r="AL437" s="766"/>
      <c r="AM437" s="604"/>
      <c r="AN437" s="631"/>
    </row>
    <row r="438" spans="1:40" s="584" customFormat="1" ht="12.75" customHeight="1">
      <c r="A438" s="570"/>
      <c r="B438" s="14"/>
      <c r="C438" s="1936" t="s">
        <v>599</v>
      </c>
      <c r="D438" s="1937"/>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5" t="s">
        <v>1574</v>
      </c>
      <c r="AG438" s="1995"/>
      <c r="AH438" s="1995"/>
      <c r="AI438" s="1995"/>
      <c r="AJ438" s="1995"/>
      <c r="AK438" s="1995"/>
      <c r="AL438" s="2025"/>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4" t="s">
        <v>599</v>
      </c>
      <c r="D442" s="2055"/>
      <c r="E442" s="749" t="s">
        <v>1609</v>
      </c>
      <c r="F442" s="1926" t="s">
        <v>1610</v>
      </c>
      <c r="G442" s="1926"/>
      <c r="H442" s="1926"/>
      <c r="I442" s="1926"/>
      <c r="J442" s="1926"/>
      <c r="K442" s="1926"/>
      <c r="L442" s="1926"/>
      <c r="M442" s="1926"/>
      <c r="N442" s="1926"/>
      <c r="O442" s="1926"/>
      <c r="P442" s="1926"/>
      <c r="Q442" s="1926"/>
      <c r="R442" s="1926"/>
      <c r="S442" s="1926"/>
      <c r="T442" s="1926"/>
      <c r="U442" s="1926"/>
      <c r="V442" s="1926"/>
      <c r="W442" s="1926"/>
      <c r="X442" s="1926"/>
      <c r="Y442" s="1926"/>
      <c r="Z442" s="1926"/>
      <c r="AA442" s="1926"/>
      <c r="AB442" s="1926"/>
      <c r="AC442" s="1926"/>
      <c r="AD442" s="1926"/>
      <c r="AE442" s="1926"/>
      <c r="AF442" s="2021" t="s">
        <v>1574</v>
      </c>
      <c r="AG442" s="2021"/>
      <c r="AH442" s="2021"/>
      <c r="AI442" s="2021"/>
      <c r="AJ442" s="2021"/>
      <c r="AK442" s="2021"/>
      <c r="AL442" s="2022"/>
      <c r="AM442" s="604"/>
      <c r="AN442" s="787"/>
    </row>
    <row r="443" spans="1:40" s="584" customFormat="1" ht="12.75" customHeight="1">
      <c r="A443" s="570"/>
      <c r="B443" s="14"/>
      <c r="C443" s="785"/>
      <c r="D443" s="764"/>
      <c r="E443" s="753"/>
      <c r="F443" s="1927"/>
      <c r="G443" s="1927"/>
      <c r="H443" s="1927"/>
      <c r="I443" s="1927"/>
      <c r="J443" s="1927"/>
      <c r="K443" s="1927"/>
      <c r="L443" s="1927"/>
      <c r="M443" s="1927"/>
      <c r="N443" s="1927"/>
      <c r="O443" s="1927"/>
      <c r="P443" s="1927"/>
      <c r="Q443" s="1927"/>
      <c r="R443" s="1927"/>
      <c r="S443" s="1927"/>
      <c r="T443" s="1927"/>
      <c r="U443" s="1927"/>
      <c r="V443" s="1927"/>
      <c r="W443" s="1927"/>
      <c r="X443" s="1927"/>
      <c r="Y443" s="1927"/>
      <c r="Z443" s="1927"/>
      <c r="AA443" s="1927"/>
      <c r="AB443" s="1927"/>
      <c r="AC443" s="1927"/>
      <c r="AD443" s="1927"/>
      <c r="AE443" s="1927"/>
      <c r="AF443" s="625"/>
      <c r="AG443" s="625"/>
      <c r="AH443" s="625"/>
      <c r="AI443" s="625"/>
      <c r="AJ443" s="625"/>
      <c r="AK443" s="625"/>
      <c r="AL443" s="754"/>
      <c r="AM443" s="604"/>
      <c r="AN443" s="788"/>
    </row>
    <row r="444" spans="1:40" s="584" customFormat="1" ht="17.7" customHeight="1">
      <c r="A444" s="570"/>
      <c r="B444" s="14"/>
      <c r="C444" s="790"/>
      <c r="D444" s="757"/>
      <c r="E444" s="758"/>
      <c r="F444" s="2009"/>
      <c r="G444" s="2009"/>
      <c r="H444" s="2009"/>
      <c r="I444" s="2009"/>
      <c r="J444" s="2009"/>
      <c r="K444" s="2009"/>
      <c r="L444" s="2009"/>
      <c r="M444" s="2009"/>
      <c r="N444" s="2009"/>
      <c r="O444" s="2009"/>
      <c r="P444" s="2009"/>
      <c r="Q444" s="2009"/>
      <c r="R444" s="2009"/>
      <c r="S444" s="2009"/>
      <c r="T444" s="2009"/>
      <c r="U444" s="2009"/>
      <c r="V444" s="2009"/>
      <c r="W444" s="2009"/>
      <c r="X444" s="2009"/>
      <c r="Y444" s="2009"/>
      <c r="Z444" s="2009"/>
      <c r="AA444" s="2009"/>
      <c r="AB444" s="2009"/>
      <c r="AC444" s="2009"/>
      <c r="AD444" s="2009"/>
      <c r="AE444" s="200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6" t="s">
        <v>599</v>
      </c>
      <c r="D446" s="1937"/>
      <c r="E446" s="749" t="s">
        <v>1615</v>
      </c>
      <c r="F446" s="1926" t="s">
        <v>1616</v>
      </c>
      <c r="G446" s="1926"/>
      <c r="H446" s="1926"/>
      <c r="I446" s="1926"/>
      <c r="J446" s="1926"/>
      <c r="K446" s="1926"/>
      <c r="L446" s="1926"/>
      <c r="M446" s="1926"/>
      <c r="N446" s="1926"/>
      <c r="O446" s="1926"/>
      <c r="P446" s="1926"/>
      <c r="Q446" s="1926"/>
      <c r="R446" s="1926"/>
      <c r="S446" s="1926"/>
      <c r="T446" s="1926"/>
      <c r="U446" s="1926"/>
      <c r="V446" s="1926"/>
      <c r="W446" s="1926"/>
      <c r="X446" s="1926"/>
      <c r="Y446" s="1926"/>
      <c r="Z446" s="1926"/>
      <c r="AA446" s="1926"/>
      <c r="AB446" s="1926"/>
      <c r="AC446" s="1926"/>
      <c r="AD446" s="1926"/>
      <c r="AE446" s="1926"/>
      <c r="AF446" s="2021" t="s">
        <v>1574</v>
      </c>
      <c r="AG446" s="2021"/>
      <c r="AH446" s="2021"/>
      <c r="AI446" s="2021"/>
      <c r="AJ446" s="2021"/>
      <c r="AK446" s="2021"/>
      <c r="AL446" s="2022"/>
      <c r="AM446" s="604"/>
      <c r="AN446" s="569"/>
    </row>
    <row r="447" spans="1:40" s="584" customFormat="1" ht="12.75" customHeight="1">
      <c r="A447" s="570"/>
      <c r="B447" s="14"/>
      <c r="C447" s="765"/>
      <c r="D447" s="14"/>
      <c r="E447" s="725"/>
      <c r="F447" s="1927"/>
      <c r="G447" s="1927"/>
      <c r="H447" s="1927"/>
      <c r="I447" s="1927"/>
      <c r="J447" s="1927"/>
      <c r="K447" s="1927"/>
      <c r="L447" s="1927"/>
      <c r="M447" s="1927"/>
      <c r="N447" s="1927"/>
      <c r="O447" s="1927"/>
      <c r="P447" s="1927"/>
      <c r="Q447" s="1927"/>
      <c r="R447" s="1927"/>
      <c r="S447" s="1927"/>
      <c r="T447" s="1927"/>
      <c r="U447" s="1927"/>
      <c r="V447" s="1927"/>
      <c r="W447" s="1927"/>
      <c r="X447" s="1927"/>
      <c r="Y447" s="1927"/>
      <c r="Z447" s="1927"/>
      <c r="AA447" s="1927"/>
      <c r="AB447" s="1927"/>
      <c r="AC447" s="1927"/>
      <c r="AD447" s="1927"/>
      <c r="AE447" s="1927"/>
      <c r="AF447" s="573"/>
      <c r="AG447" s="570"/>
      <c r="AL447" s="766"/>
      <c r="AM447" s="604"/>
      <c r="AN447" s="569"/>
    </row>
    <row r="448" spans="1:40" s="584" customFormat="1" ht="12.75" customHeight="1">
      <c r="A448" s="570"/>
      <c r="B448" s="14"/>
      <c r="C448" s="765"/>
      <c r="D448" s="14"/>
      <c r="E448" s="725"/>
      <c r="F448" s="1927"/>
      <c r="G448" s="1927"/>
      <c r="H448" s="1927"/>
      <c r="I448" s="1927"/>
      <c r="J448" s="1927"/>
      <c r="K448" s="1927"/>
      <c r="L448" s="1927"/>
      <c r="M448" s="1927"/>
      <c r="N448" s="1927"/>
      <c r="O448" s="1927"/>
      <c r="P448" s="1927"/>
      <c r="Q448" s="1927"/>
      <c r="R448" s="1927"/>
      <c r="S448" s="1927"/>
      <c r="T448" s="1927"/>
      <c r="U448" s="1927"/>
      <c r="V448" s="1927"/>
      <c r="W448" s="1927"/>
      <c r="X448" s="1927"/>
      <c r="Y448" s="1927"/>
      <c r="Z448" s="1927"/>
      <c r="AA448" s="1927"/>
      <c r="AB448" s="1927"/>
      <c r="AC448" s="1927"/>
      <c r="AD448" s="1927"/>
      <c r="AE448" s="1927"/>
      <c r="AF448" s="573"/>
      <c r="AG448" s="570"/>
      <c r="AL448" s="766"/>
      <c r="AM448" s="604"/>
      <c r="AN448" s="569"/>
    </row>
    <row r="449" spans="1:48" s="584" customFormat="1" ht="12.75" customHeight="1">
      <c r="A449" s="570"/>
      <c r="B449" s="14"/>
      <c r="C449" s="790"/>
      <c r="D449" s="757"/>
      <c r="E449" s="758"/>
      <c r="F449" s="2009"/>
      <c r="G449" s="2009"/>
      <c r="H449" s="2009"/>
      <c r="I449" s="2009"/>
      <c r="J449" s="2009"/>
      <c r="K449" s="2009"/>
      <c r="L449" s="2009"/>
      <c r="M449" s="2009"/>
      <c r="N449" s="2009"/>
      <c r="O449" s="2009"/>
      <c r="P449" s="2009"/>
      <c r="Q449" s="2009"/>
      <c r="R449" s="2009"/>
      <c r="S449" s="2009"/>
      <c r="T449" s="2009"/>
      <c r="U449" s="2009"/>
      <c r="V449" s="2009"/>
      <c r="W449" s="2009"/>
      <c r="X449" s="2009"/>
      <c r="Y449" s="2009"/>
      <c r="Z449" s="2009"/>
      <c r="AA449" s="2009"/>
      <c r="AB449" s="2009"/>
      <c r="AC449" s="2009"/>
      <c r="AD449" s="2009"/>
      <c r="AE449" s="200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26" t="s">
        <v>1619</v>
      </c>
      <c r="G451" s="1926"/>
      <c r="H451" s="1926"/>
      <c r="I451" s="1926"/>
      <c r="J451" s="1926"/>
      <c r="K451" s="1926"/>
      <c r="L451" s="1926"/>
      <c r="M451" s="1926"/>
      <c r="N451" s="1926"/>
      <c r="O451" s="1926"/>
      <c r="P451" s="1926"/>
      <c r="Q451" s="1926"/>
      <c r="R451" s="1926"/>
      <c r="S451" s="1926"/>
      <c r="T451" s="1926"/>
      <c r="U451" s="1926"/>
      <c r="V451" s="1926"/>
      <c r="W451" s="1926"/>
      <c r="X451" s="1926"/>
      <c r="Y451" s="1926"/>
      <c r="Z451" s="1926"/>
      <c r="AA451" s="1926"/>
      <c r="AB451" s="1926"/>
      <c r="AC451" s="1926"/>
      <c r="AD451" s="1926"/>
      <c r="AE451" s="1926"/>
      <c r="AF451" s="1926"/>
      <c r="AG451" s="778"/>
      <c r="AH451" s="748"/>
      <c r="AI451" s="748"/>
      <c r="AJ451" s="748"/>
      <c r="AK451" s="748"/>
      <c r="AL451" s="779"/>
      <c r="AM451" s="604"/>
      <c r="AN451" s="631"/>
    </row>
    <row r="452" spans="1:48" s="584" customFormat="1" ht="12.75" customHeight="1">
      <c r="A452" s="570"/>
      <c r="B452" s="14"/>
      <c r="C452" s="765"/>
      <c r="D452" s="14"/>
      <c r="E452" s="725"/>
      <c r="F452" s="1927"/>
      <c r="G452" s="1927"/>
      <c r="H452" s="1927"/>
      <c r="I452" s="1927"/>
      <c r="J452" s="1927"/>
      <c r="K452" s="1927"/>
      <c r="L452" s="1927"/>
      <c r="M452" s="1927"/>
      <c r="N452" s="1927"/>
      <c r="O452" s="1927"/>
      <c r="P452" s="1927"/>
      <c r="Q452" s="1927"/>
      <c r="R452" s="1927"/>
      <c r="S452" s="1927"/>
      <c r="T452" s="1927"/>
      <c r="U452" s="1927"/>
      <c r="V452" s="1927"/>
      <c r="W452" s="1927"/>
      <c r="X452" s="1927"/>
      <c r="Y452" s="1927"/>
      <c r="Z452" s="1927"/>
      <c r="AA452" s="1927"/>
      <c r="AB452" s="1927"/>
      <c r="AC452" s="1927"/>
      <c r="AD452" s="1927"/>
      <c r="AE452" s="1927"/>
      <c r="AF452" s="1927"/>
      <c r="AL452" s="766"/>
      <c r="AM452" s="604"/>
      <c r="AN452" s="631"/>
    </row>
    <row r="453" spans="1:48" s="584" customFormat="1" ht="12.75" customHeight="1">
      <c r="A453" s="570"/>
      <c r="B453" s="14"/>
      <c r="C453" s="773"/>
      <c r="F453" s="1927"/>
      <c r="G453" s="1927"/>
      <c r="H453" s="1927"/>
      <c r="I453" s="1927"/>
      <c r="J453" s="1927"/>
      <c r="K453" s="1927"/>
      <c r="L453" s="1927"/>
      <c r="M453" s="1927"/>
      <c r="N453" s="1927"/>
      <c r="O453" s="1927"/>
      <c r="P453" s="1927"/>
      <c r="Q453" s="1927"/>
      <c r="R453" s="1927"/>
      <c r="S453" s="1927"/>
      <c r="T453" s="1927"/>
      <c r="U453" s="1927"/>
      <c r="V453" s="1927"/>
      <c r="W453" s="1927"/>
      <c r="X453" s="1927"/>
      <c r="Y453" s="1927"/>
      <c r="Z453" s="1927"/>
      <c r="AA453" s="1927"/>
      <c r="AB453" s="1927"/>
      <c r="AC453" s="1927"/>
      <c r="AD453" s="1927"/>
      <c r="AE453" s="1927"/>
      <c r="AF453" s="1927"/>
      <c r="AL453" s="766"/>
      <c r="AM453" s="604"/>
      <c r="AN453" s="631"/>
    </row>
    <row r="454" spans="1:48" s="584" customFormat="1" ht="12.75" customHeight="1">
      <c r="A454" s="570"/>
      <c r="B454" s="14"/>
      <c r="C454" s="773"/>
      <c r="F454" s="1927"/>
      <c r="G454" s="1927"/>
      <c r="H454" s="1927"/>
      <c r="I454" s="1927"/>
      <c r="J454" s="1927"/>
      <c r="K454" s="1927"/>
      <c r="L454" s="1927"/>
      <c r="M454" s="1927"/>
      <c r="N454" s="1927"/>
      <c r="O454" s="1927"/>
      <c r="P454" s="1927"/>
      <c r="Q454" s="1927"/>
      <c r="R454" s="1927"/>
      <c r="S454" s="1927"/>
      <c r="T454" s="1927"/>
      <c r="U454" s="1927"/>
      <c r="V454" s="1927"/>
      <c r="W454" s="1927"/>
      <c r="X454" s="1927"/>
      <c r="Y454" s="1927"/>
      <c r="Z454" s="1927"/>
      <c r="AA454" s="1927"/>
      <c r="AB454" s="1927"/>
      <c r="AC454" s="1927"/>
      <c r="AD454" s="1927"/>
      <c r="AE454" s="1927"/>
      <c r="AF454" s="1927"/>
      <c r="AL454" s="766"/>
      <c r="AM454" s="604"/>
      <c r="AN454" s="631"/>
    </row>
    <row r="455" spans="1:48" s="584" customFormat="1" ht="12.75" customHeight="1">
      <c r="A455" s="570"/>
      <c r="B455" s="14"/>
      <c r="C455" s="1936" t="s">
        <v>599</v>
      </c>
      <c r="D455" s="1937"/>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5" t="s">
        <v>1574</v>
      </c>
      <c r="AG455" s="1925"/>
      <c r="AH455" s="1925"/>
      <c r="AI455" s="1925"/>
      <c r="AJ455" s="1925"/>
      <c r="AK455" s="1925"/>
      <c r="AL455" s="193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22">
        <f>IF(Application!D214="N/A",AS347,AS349)</f>
        <v>10</v>
      </c>
      <c r="AL458" s="1923"/>
      <c r="AM458" s="192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1925" t="s">
        <v>1623</v>
      </c>
      <c r="AF461" s="1925"/>
      <c r="AG461" s="1925"/>
      <c r="AH461" s="1925"/>
      <c r="AI461" s="1925"/>
      <c r="AJ461" s="1925"/>
      <c r="AK461" s="1925"/>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02" t="s">
        <v>599</v>
      </c>
      <c r="D467" s="2003"/>
      <c r="E467" s="795" t="s">
        <v>515</v>
      </c>
      <c r="F467" s="2023" t="s">
        <v>1629</v>
      </c>
      <c r="G467" s="2023"/>
      <c r="H467" s="2023"/>
      <c r="I467" s="2023"/>
      <c r="J467" s="2023"/>
      <c r="K467" s="2023"/>
      <c r="L467" s="2023"/>
      <c r="M467" s="2023"/>
      <c r="N467" s="2023"/>
      <c r="O467" s="2023"/>
      <c r="P467" s="2023"/>
      <c r="Q467" s="2023"/>
      <c r="R467" s="2023"/>
      <c r="S467" s="2023"/>
      <c r="T467" s="2023"/>
      <c r="U467" s="2023"/>
      <c r="V467" s="2023"/>
      <c r="W467" s="2023"/>
      <c r="X467" s="2023"/>
      <c r="Y467" s="2023"/>
      <c r="Z467" s="2023"/>
      <c r="AA467" s="2023"/>
      <c r="AB467" s="2023"/>
      <c r="AC467" s="2023"/>
      <c r="AD467" s="2023"/>
      <c r="AE467" s="2023"/>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24"/>
      <c r="G468" s="2024"/>
      <c r="H468" s="2024"/>
      <c r="I468" s="2024"/>
      <c r="J468" s="2024"/>
      <c r="K468" s="2024"/>
      <c r="L468" s="2024"/>
      <c r="M468" s="2024"/>
      <c r="N468" s="2024"/>
      <c r="O468" s="2024"/>
      <c r="P468" s="2024"/>
      <c r="Q468" s="2024"/>
      <c r="R468" s="2024"/>
      <c r="S468" s="2024"/>
      <c r="T468" s="2024"/>
      <c r="U468" s="2024"/>
      <c r="V468" s="2024"/>
      <c r="W468" s="2024"/>
      <c r="X468" s="2024"/>
      <c r="Y468" s="2024"/>
      <c r="Z468" s="2024"/>
      <c r="AA468" s="2024"/>
      <c r="AB468" s="2024"/>
      <c r="AC468" s="2024"/>
      <c r="AD468" s="2024"/>
      <c r="AE468" s="2024"/>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18" t="s">
        <v>599</v>
      </c>
      <c r="G469" s="2018"/>
      <c r="H469" s="2018"/>
      <c r="I469" s="2018"/>
      <c r="J469" s="2018"/>
      <c r="K469" s="2018"/>
      <c r="L469" s="2018"/>
      <c r="M469" s="2018"/>
      <c r="N469" s="2018"/>
      <c r="O469" s="2018"/>
      <c r="P469" s="2018"/>
      <c r="Q469" s="2018"/>
      <c r="R469" s="2018"/>
      <c r="S469" s="2018"/>
      <c r="T469" s="2018"/>
      <c r="U469" s="2018"/>
      <c r="V469" s="2018"/>
      <c r="W469" s="2018"/>
      <c r="X469" s="2018"/>
      <c r="Y469" s="2018"/>
      <c r="Z469" s="2018"/>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9" t="s">
        <v>553</v>
      </c>
      <c r="D471" s="2020"/>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31" t="s">
        <v>599</v>
      </c>
      <c r="W474" s="1931"/>
      <c r="X474" s="1931"/>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31" t="s">
        <v>599</v>
      </c>
      <c r="W476" s="1931"/>
      <c r="X476" s="1931"/>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31" t="s">
        <v>599</v>
      </c>
      <c r="W481" s="1931"/>
      <c r="X481" s="1931"/>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5"/>
      <c r="E484" s="2005"/>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31" t="s">
        <v>599</v>
      </c>
      <c r="W485" s="1931"/>
      <c r="X485" s="1931"/>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31" t="s">
        <v>599</v>
      </c>
      <c r="W487" s="1931"/>
      <c r="X487" s="1931"/>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2" t="s">
        <v>599</v>
      </c>
      <c r="D490" s="2003"/>
      <c r="E490" s="795" t="s">
        <v>515</v>
      </c>
      <c r="F490" s="2023" t="s">
        <v>1629</v>
      </c>
      <c r="G490" s="2023"/>
      <c r="H490" s="2023"/>
      <c r="I490" s="2023"/>
      <c r="J490" s="2023"/>
      <c r="K490" s="2023"/>
      <c r="L490" s="2023"/>
      <c r="M490" s="2023"/>
      <c r="N490" s="2023"/>
      <c r="O490" s="2023"/>
      <c r="P490" s="2023"/>
      <c r="Q490" s="2023"/>
      <c r="R490" s="2023"/>
      <c r="S490" s="2023"/>
      <c r="T490" s="2023"/>
      <c r="U490" s="2023"/>
      <c r="V490" s="2023"/>
      <c r="W490" s="2023"/>
      <c r="X490" s="2023"/>
      <c r="Y490" s="2023"/>
      <c r="Z490" s="2023"/>
      <c r="AA490" s="2023"/>
      <c r="AB490" s="2023"/>
      <c r="AC490" s="2023"/>
      <c r="AD490" s="2023"/>
      <c r="AE490" s="202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4"/>
      <c r="G491" s="2024"/>
      <c r="H491" s="2024"/>
      <c r="I491" s="2024"/>
      <c r="J491" s="2024"/>
      <c r="K491" s="2024"/>
      <c r="L491" s="2024"/>
      <c r="M491" s="2024"/>
      <c r="N491" s="2024"/>
      <c r="O491" s="2024"/>
      <c r="P491" s="2024"/>
      <c r="Q491" s="2024"/>
      <c r="R491" s="2024"/>
      <c r="S491" s="2024"/>
      <c r="T491" s="2024"/>
      <c r="U491" s="2024"/>
      <c r="V491" s="2024"/>
      <c r="W491" s="2024"/>
      <c r="X491" s="2024"/>
      <c r="Y491" s="2024"/>
      <c r="Z491" s="2024"/>
      <c r="AA491" s="2024"/>
      <c r="AB491" s="2024"/>
      <c r="AC491" s="2024"/>
      <c r="AD491" s="2024"/>
      <c r="AE491" s="202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0" t="s">
        <v>599</v>
      </c>
      <c r="G492" s="2010"/>
      <c r="H492" s="2010"/>
      <c r="I492" s="2010"/>
      <c r="J492" s="2010"/>
      <c r="K492" s="2010"/>
      <c r="L492" s="2010"/>
      <c r="M492" s="2010"/>
      <c r="N492" s="2010"/>
      <c r="O492" s="2010"/>
      <c r="P492" s="2010"/>
      <c r="Q492" s="2010"/>
      <c r="R492" s="2010"/>
      <c r="S492" s="2010"/>
      <c r="T492" s="2010"/>
      <c r="U492" s="2010"/>
      <c r="V492" s="2010"/>
      <c r="W492" s="2010"/>
      <c r="X492" s="2010"/>
      <c r="Y492" s="2010"/>
      <c r="Z492" s="2010"/>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2" t="s">
        <v>599</v>
      </c>
      <c r="D494" s="2003"/>
      <c r="E494" s="795" t="s">
        <v>766</v>
      </c>
      <c r="F494" s="2011" t="s">
        <v>1651</v>
      </c>
      <c r="G494" s="2011"/>
      <c r="H494" s="2011"/>
      <c r="I494" s="2011"/>
      <c r="J494" s="2011"/>
      <c r="K494" s="2011"/>
      <c r="L494" s="2011"/>
      <c r="M494" s="2011"/>
      <c r="N494" s="2011"/>
      <c r="O494" s="2011"/>
      <c r="P494" s="2011"/>
      <c r="Q494" s="2011"/>
      <c r="R494" s="2011"/>
      <c r="S494" s="2011"/>
      <c r="T494" s="2011"/>
      <c r="U494" s="2011"/>
      <c r="V494" s="2011"/>
      <c r="W494" s="2011"/>
      <c r="X494" s="2011"/>
      <c r="Y494" s="2011"/>
      <c r="Z494" s="2011"/>
      <c r="AA494" s="2011"/>
      <c r="AB494" s="2011"/>
      <c r="AC494" s="2011"/>
      <c r="AD494" s="2011"/>
      <c r="AE494" s="201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2"/>
      <c r="G495" s="2012"/>
      <c r="H495" s="2012"/>
      <c r="I495" s="2012"/>
      <c r="J495" s="2012"/>
      <c r="K495" s="2012"/>
      <c r="L495" s="2012"/>
      <c r="M495" s="2012"/>
      <c r="N495" s="2012"/>
      <c r="O495" s="2012"/>
      <c r="P495" s="2012"/>
      <c r="Q495" s="2012"/>
      <c r="R495" s="2012"/>
      <c r="S495" s="2012"/>
      <c r="T495" s="2012"/>
      <c r="U495" s="2012"/>
      <c r="V495" s="2012"/>
      <c r="W495" s="2012"/>
      <c r="X495" s="2012"/>
      <c r="Y495" s="2012"/>
      <c r="Z495" s="2012"/>
      <c r="AA495" s="2012"/>
      <c r="AB495" s="2012"/>
      <c r="AC495" s="2012"/>
      <c r="AD495" s="2012"/>
      <c r="AE495" s="201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3" t="s">
        <v>599</v>
      </c>
      <c r="G497" s="2013"/>
      <c r="H497" s="201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2" t="s">
        <v>599</v>
      </c>
      <c r="D499" s="2003"/>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4"/>
      <c r="D501" s="2005"/>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6" t="s">
        <v>599</v>
      </c>
      <c r="H502" s="2006"/>
      <c r="I502" s="2006"/>
      <c r="J502" s="2006"/>
      <c r="K502" s="2006"/>
      <c r="L502" s="2006"/>
      <c r="M502" s="2006"/>
      <c r="N502" s="2006"/>
      <c r="O502" s="2006"/>
      <c r="P502" s="2006"/>
      <c r="Q502" s="2006"/>
      <c r="R502" s="2006"/>
      <c r="S502" s="2006"/>
      <c r="T502" s="2006"/>
      <c r="U502" s="2006"/>
      <c r="V502" s="2006"/>
      <c r="W502" s="2006"/>
      <c r="X502" s="2006"/>
      <c r="Y502" s="2006"/>
      <c r="Z502" s="2006"/>
      <c r="AA502" s="2006"/>
      <c r="AB502" s="2006"/>
      <c r="AC502" s="2006"/>
      <c r="AD502" s="2006"/>
      <c r="AE502" s="2006"/>
      <c r="AF502" s="200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7" t="s">
        <v>599</v>
      </c>
      <c r="D504" s="2008"/>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7" t="s">
        <v>599</v>
      </c>
      <c r="D508" s="2008"/>
      <c r="F508" s="829" t="s">
        <v>1659</v>
      </c>
      <c r="G508" s="1927" t="s">
        <v>1660</v>
      </c>
      <c r="H508" s="1927"/>
      <c r="I508" s="1927"/>
      <c r="J508" s="1927"/>
      <c r="K508" s="1927"/>
      <c r="L508" s="1927"/>
      <c r="M508" s="1927"/>
      <c r="N508" s="1927"/>
      <c r="O508" s="1927"/>
      <c r="P508" s="1927"/>
      <c r="Q508" s="1927"/>
      <c r="R508" s="1927"/>
      <c r="S508" s="1927"/>
      <c r="T508" s="1927"/>
      <c r="U508" s="1927"/>
      <c r="V508" s="1927"/>
      <c r="W508" s="1927"/>
      <c r="X508" s="1927"/>
      <c r="Y508" s="1927"/>
      <c r="Z508" s="1927"/>
      <c r="AA508" s="1927"/>
      <c r="AB508" s="1927"/>
      <c r="AC508" s="1927"/>
      <c r="AD508" s="1927"/>
      <c r="AE508" s="1927"/>
      <c r="AF508" s="1927"/>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9"/>
      <c r="H509" s="2009"/>
      <c r="I509" s="2009"/>
      <c r="J509" s="2009"/>
      <c r="K509" s="2009"/>
      <c r="L509" s="2009"/>
      <c r="M509" s="2009"/>
      <c r="N509" s="2009"/>
      <c r="O509" s="2009"/>
      <c r="P509" s="2009"/>
      <c r="Q509" s="2009"/>
      <c r="R509" s="2009"/>
      <c r="S509" s="2009"/>
      <c r="T509" s="2009"/>
      <c r="U509" s="2009"/>
      <c r="V509" s="2009"/>
      <c r="W509" s="2009"/>
      <c r="X509" s="2009"/>
      <c r="Y509" s="2009"/>
      <c r="Z509" s="2009"/>
      <c r="AA509" s="2009"/>
      <c r="AB509" s="2009"/>
      <c r="AC509" s="2009"/>
      <c r="AD509" s="2009"/>
      <c r="AE509" s="2009"/>
      <c r="AF509" s="200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4" t="s">
        <v>599</v>
      </c>
      <c r="D512" s="2015"/>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6" t="s">
        <v>599</v>
      </c>
      <c r="G513" s="2016"/>
      <c r="H513" s="2016"/>
      <c r="I513" s="2016"/>
      <c r="J513" s="2016"/>
      <c r="K513" s="2016"/>
      <c r="L513" s="2016"/>
      <c r="M513" s="2016"/>
      <c r="N513" s="2016"/>
      <c r="O513" s="2016"/>
      <c r="P513" s="2016"/>
      <c r="Q513" s="2016"/>
      <c r="R513" s="2016"/>
      <c r="S513" s="2016"/>
      <c r="T513" s="2016"/>
      <c r="U513" s="2016"/>
      <c r="V513" s="2016"/>
      <c r="W513" s="2016"/>
      <c r="X513" s="2016"/>
      <c r="Y513" s="2016"/>
      <c r="Z513" s="2016"/>
      <c r="AA513" s="2016"/>
      <c r="AB513" s="2016"/>
      <c r="AC513" s="2016"/>
      <c r="AD513" s="2016"/>
      <c r="AE513" s="2016"/>
      <c r="AF513" s="201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7"/>
      <c r="G514" s="2017"/>
      <c r="H514" s="2017"/>
      <c r="I514" s="2017"/>
      <c r="J514" s="2017"/>
      <c r="K514" s="2017"/>
      <c r="L514" s="2017"/>
      <c r="M514" s="2017"/>
      <c r="N514" s="2017"/>
      <c r="O514" s="2017"/>
      <c r="P514" s="2017"/>
      <c r="Q514" s="2017"/>
      <c r="R514" s="2017"/>
      <c r="S514" s="2017"/>
      <c r="T514" s="2017"/>
      <c r="U514" s="2017"/>
      <c r="V514" s="2017"/>
      <c r="W514" s="2017"/>
      <c r="X514" s="2017"/>
      <c r="Y514" s="2017"/>
      <c r="Z514" s="2017"/>
      <c r="AA514" s="2017"/>
      <c r="AB514" s="2017"/>
      <c r="AC514" s="2017"/>
      <c r="AD514" s="2017"/>
      <c r="AE514" s="2017"/>
      <c r="AF514" s="201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22">
        <f>SUM(AG468:AG513)</f>
        <v>0</v>
      </c>
      <c r="AL524" s="1923"/>
      <c r="AM524" s="192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8" t="s">
        <v>1672</v>
      </c>
      <c r="AF527" s="1928"/>
      <c r="AG527" s="1928"/>
      <c r="AH527" s="1928"/>
      <c r="AI527" s="1928"/>
      <c r="AJ527" s="1928"/>
      <c r="AK527" s="1928"/>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7" t="s">
        <v>553</v>
      </c>
      <c r="D530" s="1937"/>
      <c r="E530" s="585"/>
      <c r="F530" s="1996" t="s">
        <v>1673</v>
      </c>
      <c r="G530" s="1997"/>
      <c r="H530" s="1997"/>
      <c r="I530" s="1997"/>
      <c r="J530" s="1997"/>
      <c r="K530" s="1997"/>
      <c r="L530" s="1997"/>
      <c r="M530" s="1997"/>
      <c r="N530" s="1997"/>
      <c r="O530" s="1997"/>
      <c r="P530" s="1997"/>
      <c r="Q530" s="1997"/>
      <c r="R530" s="1997"/>
      <c r="S530" s="1997"/>
      <c r="T530" s="1997"/>
      <c r="U530" s="1997"/>
      <c r="V530" s="1997"/>
      <c r="W530" s="1997"/>
      <c r="X530" s="1997"/>
      <c r="Y530" s="1997"/>
      <c r="Z530" s="1997"/>
      <c r="AA530" s="1997"/>
      <c r="AB530" s="1997"/>
      <c r="AC530" s="1997"/>
      <c r="AD530" s="1997"/>
      <c r="AE530" s="1997"/>
      <c r="AF530" s="1997"/>
      <c r="AG530" s="1997"/>
      <c r="AH530" s="1997"/>
      <c r="AI530" s="1997"/>
      <c r="AJ530" s="1997"/>
      <c r="AK530" s="1997"/>
      <c r="AL530" s="1998"/>
      <c r="AM530" s="629"/>
      <c r="AN530" s="631"/>
    </row>
    <row r="531" spans="1:49" s="584" customFormat="1" ht="12.75" customHeight="1">
      <c r="A531" s="573"/>
      <c r="B531" s="573"/>
      <c r="C531" s="585"/>
      <c r="D531" s="585"/>
      <c r="E531" s="585"/>
      <c r="F531" s="1999"/>
      <c r="G531" s="2000"/>
      <c r="H531" s="2000"/>
      <c r="I531" s="2000"/>
      <c r="J531" s="2000"/>
      <c r="K531" s="2000"/>
      <c r="L531" s="2000"/>
      <c r="M531" s="2000"/>
      <c r="N531" s="2000"/>
      <c r="O531" s="2000"/>
      <c r="P531" s="2000"/>
      <c r="Q531" s="2000"/>
      <c r="R531" s="2000"/>
      <c r="S531" s="2000"/>
      <c r="T531" s="2000"/>
      <c r="U531" s="2000"/>
      <c r="V531" s="2000"/>
      <c r="W531" s="2000"/>
      <c r="X531" s="2000"/>
      <c r="Y531" s="2000"/>
      <c r="Z531" s="2000"/>
      <c r="AA531" s="2000"/>
      <c r="AB531" s="2000"/>
      <c r="AC531" s="2000"/>
      <c r="AD531" s="2000"/>
      <c r="AE531" s="2000"/>
      <c r="AF531" s="2000"/>
      <c r="AG531" s="2000"/>
      <c r="AH531" s="2000"/>
      <c r="AI531" s="2000"/>
      <c r="AJ531" s="2000"/>
      <c r="AK531" s="2000"/>
      <c r="AL531" s="2001"/>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7" t="s">
        <v>599</v>
      </c>
      <c r="D533" s="1937"/>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4" t="s">
        <v>1675</v>
      </c>
      <c r="G534" s="1915"/>
      <c r="H534" s="1915"/>
      <c r="I534" s="1915"/>
      <c r="J534" s="1915"/>
      <c r="K534" s="1915"/>
      <c r="L534" s="1915"/>
      <c r="M534" s="1915"/>
      <c r="N534" s="1915"/>
      <c r="O534" s="1915"/>
      <c r="P534" s="1915"/>
      <c r="Q534" s="1915"/>
      <c r="R534" s="1915"/>
      <c r="S534" s="1915"/>
      <c r="T534" s="1915"/>
      <c r="U534" s="1915"/>
      <c r="V534" s="1915"/>
      <c r="W534" s="1915"/>
      <c r="X534" s="1915"/>
      <c r="Y534" s="1915"/>
      <c r="Z534" s="1915"/>
      <c r="AA534" s="1915"/>
      <c r="AB534" s="1915"/>
      <c r="AC534" s="1915"/>
      <c r="AD534" s="1915"/>
      <c r="AE534" s="1915"/>
      <c r="AF534" s="1915"/>
      <c r="AG534" s="1915"/>
      <c r="AH534" s="1915"/>
      <c r="AI534" s="1915"/>
      <c r="AJ534" s="1915"/>
      <c r="AK534" s="1915"/>
      <c r="AL534" s="1916"/>
      <c r="AM534" s="629"/>
      <c r="AN534" s="631"/>
      <c r="AS534" s="904"/>
      <c r="AT534" s="904"/>
      <c r="AU534" s="904"/>
      <c r="AV534" s="904"/>
      <c r="AW534" s="904"/>
    </row>
    <row r="535" spans="1:49" s="584" customFormat="1" ht="12.75" customHeight="1">
      <c r="B535" s="840"/>
      <c r="C535" s="840"/>
      <c r="D535" s="840"/>
      <c r="E535" s="840"/>
      <c r="F535" s="1914"/>
      <c r="G535" s="1915"/>
      <c r="H535" s="1915"/>
      <c r="I535" s="1915"/>
      <c r="J535" s="1915"/>
      <c r="K535" s="1915"/>
      <c r="L535" s="1915"/>
      <c r="M535" s="1915"/>
      <c r="N535" s="1915"/>
      <c r="O535" s="1915"/>
      <c r="P535" s="1915"/>
      <c r="Q535" s="1915"/>
      <c r="R535" s="1915"/>
      <c r="S535" s="1915"/>
      <c r="T535" s="1915"/>
      <c r="U535" s="1915"/>
      <c r="V535" s="1915"/>
      <c r="W535" s="1915"/>
      <c r="X535" s="1915"/>
      <c r="Y535" s="1915"/>
      <c r="Z535" s="1915"/>
      <c r="AA535" s="1915"/>
      <c r="AB535" s="1915"/>
      <c r="AC535" s="1915"/>
      <c r="AD535" s="1915"/>
      <c r="AE535" s="1915"/>
      <c r="AF535" s="1915"/>
      <c r="AG535" s="1915"/>
      <c r="AH535" s="1915"/>
      <c r="AI535" s="1915"/>
      <c r="AJ535" s="1915"/>
      <c r="AK535" s="1915"/>
      <c r="AL535" s="1916"/>
      <c r="AM535" s="629"/>
      <c r="AN535" s="631"/>
    </row>
    <row r="536" spans="1:49" s="584" customFormat="1" ht="12.75"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4" t="s">
        <v>1676</v>
      </c>
      <c r="G537" s="1915"/>
      <c r="H537" s="1915"/>
      <c r="I537" s="1915"/>
      <c r="J537" s="1915"/>
      <c r="K537" s="1915"/>
      <c r="L537" s="1915"/>
      <c r="M537" s="1915"/>
      <c r="N537" s="1915"/>
      <c r="O537" s="1915"/>
      <c r="P537" s="1915"/>
      <c r="Q537" s="1915"/>
      <c r="R537" s="1915"/>
      <c r="S537" s="1915"/>
      <c r="T537" s="1915"/>
      <c r="U537" s="1915"/>
      <c r="V537" s="1915"/>
      <c r="W537" s="1915"/>
      <c r="X537" s="1915"/>
      <c r="Y537" s="1915"/>
      <c r="Z537" s="1915"/>
      <c r="AA537" s="1915"/>
      <c r="AB537" s="1915"/>
      <c r="AC537" s="1915"/>
      <c r="AD537" s="1915"/>
      <c r="AE537" s="1915"/>
      <c r="AF537" s="1915"/>
      <c r="AG537" s="1915"/>
      <c r="AH537" s="1915"/>
      <c r="AI537" s="1915"/>
      <c r="AJ537" s="1915"/>
      <c r="AK537" s="1915"/>
      <c r="AL537" s="847"/>
      <c r="AM537" s="629"/>
      <c r="AN537" s="631"/>
    </row>
    <row r="538" spans="1:49" s="584" customFormat="1" ht="12.75" customHeight="1">
      <c r="B538" s="840"/>
      <c r="C538" s="840"/>
      <c r="D538" s="840"/>
      <c r="E538" s="840"/>
      <c r="F538" s="1917"/>
      <c r="G538" s="1918"/>
      <c r="H538" s="1918"/>
      <c r="I538" s="1918"/>
      <c r="J538" s="1918"/>
      <c r="K538" s="1918"/>
      <c r="L538" s="1918"/>
      <c r="M538" s="1918"/>
      <c r="N538" s="1918"/>
      <c r="O538" s="1918"/>
      <c r="P538" s="1918"/>
      <c r="Q538" s="1918"/>
      <c r="R538" s="1918"/>
      <c r="S538" s="1918"/>
      <c r="T538" s="1918"/>
      <c r="U538" s="1918"/>
      <c r="V538" s="1918"/>
      <c r="W538" s="1918"/>
      <c r="X538" s="1918"/>
      <c r="Y538" s="1918"/>
      <c r="Z538" s="1918"/>
      <c r="AA538" s="1918"/>
      <c r="AB538" s="1918"/>
      <c r="AC538" s="1918"/>
      <c r="AD538" s="1918"/>
      <c r="AE538" s="1918"/>
      <c r="AF538" s="1918"/>
      <c r="AG538" s="1918"/>
      <c r="AH538" s="1918"/>
      <c r="AI538" s="1918"/>
      <c r="AJ538" s="1918"/>
      <c r="AK538" s="191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9">
        <f>Application!AJ991</f>
        <v>96420996</v>
      </c>
      <c r="AQ539" s="1909"/>
      <c r="AR539" s="1909"/>
      <c r="AS539" s="584" t="s">
        <v>2531</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9">
        <f>'Sources and Uses Budget'!S107+'Sources and Uses Budget'!T107</f>
        <v>70699840</v>
      </c>
      <c r="AG540" s="1919"/>
      <c r="AH540" s="1919"/>
      <c r="AI540" s="1919"/>
      <c r="AJ540" s="1919"/>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0">
        <f>IFERROR(AP548,0)</f>
        <v>143817457.35999998</v>
      </c>
      <c r="AG541" s="1920"/>
      <c r="AH541" s="1920"/>
      <c r="AI541" s="1920"/>
      <c r="AJ541" s="1920"/>
      <c r="AK541" s="629"/>
      <c r="AL541" s="629"/>
      <c r="AM541" s="629"/>
      <c r="AN541" s="631"/>
      <c r="AP541" s="1909">
        <f>Application!AJ1044</f>
        <v>20248409.16</v>
      </c>
      <c r="AQ541" s="1909"/>
      <c r="AR541" s="1909"/>
      <c r="AS541" s="584" t="s">
        <v>2053</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1">
        <f>IFERROR(ROUNDDOWN(IF(C533="YES",((1-(AF540/AF541))*2),(1-(AF540/AF541))),2),0)</f>
        <v>0.5</v>
      </c>
      <c r="AG542" s="1921"/>
      <c r="AH542" s="1921"/>
      <c r="AI542" s="1921"/>
      <c r="AJ542" s="1921"/>
      <c r="AK542" s="629"/>
      <c r="AL542" s="629"/>
      <c r="AM542" s="629"/>
      <c r="AN542" s="631"/>
      <c r="AP542" s="1910">
        <f>Application!AJ1048</f>
        <v>19284199.199999999</v>
      </c>
      <c r="AQ542" s="1910"/>
      <c r="AR542" s="1910"/>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9">
        <f>IF(((AP541+AP542)/AP539)&gt;0.8,0.8,((AP541+AP542)/AP539))</f>
        <v>0.41</v>
      </c>
      <c r="AQ543" s="1929"/>
      <c r="AR543" s="1929"/>
      <c r="AS543" s="584" t="s">
        <v>2533</v>
      </c>
    </row>
    <row r="544" spans="1:49" s="584" customFormat="1" ht="12.75" customHeight="1">
      <c r="A544" s="658"/>
      <c r="B544" s="1975" t="s">
        <v>2343</v>
      </c>
      <c r="C544" s="1976"/>
      <c r="D544" s="1976"/>
      <c r="E544" s="1976"/>
      <c r="F544" s="1976"/>
      <c r="G544" s="1976"/>
      <c r="H544" s="1976"/>
      <c r="I544" s="1976"/>
      <c r="J544" s="1976"/>
      <c r="K544" s="1976"/>
      <c r="L544" s="1976"/>
      <c r="M544" s="1976"/>
      <c r="N544" s="1976"/>
      <c r="O544" s="1976"/>
      <c r="P544" s="1976"/>
      <c r="Q544" s="1976"/>
      <c r="R544" s="1976"/>
      <c r="S544" s="1976"/>
      <c r="T544" s="1976"/>
      <c r="U544" s="1976"/>
      <c r="V544" s="1976"/>
      <c r="W544" s="1976"/>
      <c r="X544" s="1976"/>
      <c r="Y544" s="1976"/>
      <c r="Z544" s="1976"/>
      <c r="AA544" s="1976"/>
      <c r="AB544" s="1976"/>
      <c r="AC544" s="1976"/>
      <c r="AD544" s="1976"/>
      <c r="AE544" s="1976"/>
      <c r="AF544" s="1976"/>
      <c r="AG544" s="1976"/>
      <c r="AH544" s="1976"/>
      <c r="AI544" s="1976"/>
      <c r="AJ544" s="1977"/>
      <c r="AK544" s="629"/>
      <c r="AL544" s="629"/>
      <c r="AM544" s="629"/>
      <c r="AN544" s="631"/>
    </row>
    <row r="545" spans="1:45" s="584" customFormat="1" ht="12.75" customHeight="1">
      <c r="A545" s="658"/>
      <c r="B545" s="1978"/>
      <c r="C545" s="1979"/>
      <c r="D545" s="1979"/>
      <c r="E545" s="1979"/>
      <c r="F545" s="1979"/>
      <c r="G545" s="1979"/>
      <c r="H545" s="1979"/>
      <c r="I545" s="1979"/>
      <c r="J545" s="1979"/>
      <c r="K545" s="1979"/>
      <c r="L545" s="1979"/>
      <c r="M545" s="1979"/>
      <c r="N545" s="1979"/>
      <c r="O545" s="1979"/>
      <c r="P545" s="1979"/>
      <c r="Q545" s="1979"/>
      <c r="R545" s="1979"/>
      <c r="S545" s="1979"/>
      <c r="T545" s="1979"/>
      <c r="U545" s="1979"/>
      <c r="V545" s="1979"/>
      <c r="W545" s="1979"/>
      <c r="X545" s="1979"/>
      <c r="Y545" s="1979"/>
      <c r="Z545" s="1979"/>
      <c r="AA545" s="1979"/>
      <c r="AB545" s="1979"/>
      <c r="AC545" s="1979"/>
      <c r="AD545" s="1979"/>
      <c r="AE545" s="1979"/>
      <c r="AF545" s="1979"/>
      <c r="AG545" s="1979"/>
      <c r="AH545" s="1979"/>
      <c r="AI545" s="1979"/>
      <c r="AJ545" s="1980"/>
      <c r="AK545" s="629"/>
      <c r="AL545" s="629"/>
      <c r="AM545" s="629"/>
      <c r="AN545" s="631"/>
      <c r="AP545" s="1909">
        <f>AP546-AP541-AP542</f>
        <v>104284848.99999999</v>
      </c>
      <c r="AQ545" s="1930"/>
      <c r="AR545" s="1930"/>
      <c r="AS545" s="584" t="s">
        <v>2535</v>
      </c>
    </row>
    <row r="546" spans="1:45" s="584" customFormat="1" ht="12.75" customHeight="1">
      <c r="A546" s="658"/>
      <c r="B546" s="1981"/>
      <c r="C546" s="1982"/>
      <c r="D546" s="1982"/>
      <c r="E546" s="1982"/>
      <c r="F546" s="1982"/>
      <c r="G546" s="1982"/>
      <c r="H546" s="1982"/>
      <c r="I546" s="1982"/>
      <c r="J546" s="1982"/>
      <c r="K546" s="1982"/>
      <c r="L546" s="1982"/>
      <c r="M546" s="1982"/>
      <c r="N546" s="1982"/>
      <c r="O546" s="1982"/>
      <c r="P546" s="1982"/>
      <c r="Q546" s="1982"/>
      <c r="R546" s="1982"/>
      <c r="S546" s="1982"/>
      <c r="T546" s="1982"/>
      <c r="U546" s="1982"/>
      <c r="V546" s="1982"/>
      <c r="W546" s="1982"/>
      <c r="X546" s="1982"/>
      <c r="Y546" s="1982"/>
      <c r="Z546" s="1982"/>
      <c r="AA546" s="1982"/>
      <c r="AB546" s="1982"/>
      <c r="AC546" s="1982"/>
      <c r="AD546" s="1982"/>
      <c r="AE546" s="1982"/>
      <c r="AF546" s="1982"/>
      <c r="AG546" s="1982"/>
      <c r="AH546" s="1982"/>
      <c r="AI546" s="1982"/>
      <c r="AJ546" s="1983"/>
      <c r="AK546" s="629"/>
      <c r="AL546" s="629"/>
      <c r="AM546" s="629"/>
      <c r="AN546" s="631"/>
      <c r="AP546" s="1909">
        <f>Application!AJ1052</f>
        <v>143817457.35999998</v>
      </c>
      <c r="AQ546" s="1909"/>
      <c r="AR546" s="1909"/>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84">
        <f>IFERROR(IF(AND(C530="N/A",C533="N/A"),0,IF(AF542=0,0,IF((AF542*100)&gt;12,12,(AF542*100)))),0)</f>
        <v>12</v>
      </c>
      <c r="AL548" s="1984"/>
      <c r="AM548" s="1985"/>
      <c r="AN548" s="631"/>
      <c r="AP548" s="1898">
        <f>AP545+(AP539*AP543)</f>
        <v>143817457.35999998</v>
      </c>
      <c r="AQ548" s="1899"/>
      <c r="AR548" s="190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8" t="s">
        <v>1425</v>
      </c>
      <c r="AF551" s="1928"/>
      <c r="AG551" s="1928"/>
      <c r="AH551" s="1928"/>
      <c r="AI551" s="1928"/>
      <c r="AJ551" s="1928"/>
      <c r="AK551" s="192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5" t="s">
        <v>2334</v>
      </c>
      <c r="C553" s="1915"/>
      <c r="D553" s="1915"/>
      <c r="E553" s="1915"/>
      <c r="F553" s="1915"/>
      <c r="G553" s="1915"/>
      <c r="H553" s="1915"/>
      <c r="I553" s="1915"/>
      <c r="J553" s="1915"/>
      <c r="K553" s="1915"/>
      <c r="L553" s="1915"/>
      <c r="M553" s="1915"/>
      <c r="N553" s="1915"/>
      <c r="O553" s="1915"/>
      <c r="P553" s="1915"/>
      <c r="Q553" s="1915"/>
      <c r="R553" s="1915"/>
      <c r="S553" s="1915"/>
      <c r="T553" s="1915"/>
      <c r="U553" s="1915"/>
      <c r="V553" s="1915"/>
      <c r="W553" s="1915"/>
      <c r="X553" s="1915"/>
      <c r="Y553" s="1915"/>
      <c r="Z553" s="1915"/>
      <c r="AA553" s="1915"/>
      <c r="AB553" s="1915"/>
      <c r="AC553" s="1915"/>
      <c r="AD553" s="1915"/>
      <c r="AE553" s="1915"/>
      <c r="AF553" s="1915"/>
      <c r="AG553" s="1915"/>
      <c r="AH553" s="1915"/>
      <c r="AI553" s="1915"/>
      <c r="AJ553" s="1915"/>
      <c r="AK553" s="676"/>
      <c r="AL553" s="607"/>
      <c r="AM553" s="637"/>
      <c r="AN553" s="631"/>
    </row>
    <row r="554" spans="1:45" s="584" customFormat="1" ht="12.75" customHeight="1">
      <c r="A554" s="637"/>
      <c r="B554" s="1915"/>
      <c r="C554" s="1915"/>
      <c r="D554" s="1915"/>
      <c r="E554" s="1915"/>
      <c r="F554" s="1915"/>
      <c r="G554" s="1915"/>
      <c r="H554" s="1915"/>
      <c r="I554" s="1915"/>
      <c r="J554" s="1915"/>
      <c r="K554" s="1915"/>
      <c r="L554" s="1915"/>
      <c r="M554" s="1915"/>
      <c r="N554" s="1915"/>
      <c r="O554" s="1915"/>
      <c r="P554" s="1915"/>
      <c r="Q554" s="1915"/>
      <c r="R554" s="1915"/>
      <c r="S554" s="1915"/>
      <c r="T554" s="1915"/>
      <c r="U554" s="1915"/>
      <c r="V554" s="1915"/>
      <c r="W554" s="1915"/>
      <c r="X554" s="1915"/>
      <c r="Y554" s="1915"/>
      <c r="Z554" s="1915"/>
      <c r="AA554" s="1915"/>
      <c r="AB554" s="1915"/>
      <c r="AC554" s="1915"/>
      <c r="AD554" s="1915"/>
      <c r="AE554" s="1915"/>
      <c r="AF554" s="1915"/>
      <c r="AG554" s="1915"/>
      <c r="AH554" s="1915"/>
      <c r="AI554" s="1915"/>
      <c r="AJ554" s="1915"/>
      <c r="AK554" s="676"/>
      <c r="AL554" s="607"/>
      <c r="AM554" s="637"/>
      <c r="AN554" s="631"/>
    </row>
    <row r="555" spans="1:45" s="584" customFormat="1" ht="12.75" customHeight="1">
      <c r="A555" s="637"/>
      <c r="B555" s="1915"/>
      <c r="C555" s="1915"/>
      <c r="D555" s="1915"/>
      <c r="E555" s="1915"/>
      <c r="F555" s="1915"/>
      <c r="G555" s="1915"/>
      <c r="H555" s="1915"/>
      <c r="I555" s="1915"/>
      <c r="J555" s="1915"/>
      <c r="K555" s="1915"/>
      <c r="L555" s="1915"/>
      <c r="M555" s="1915"/>
      <c r="N555" s="1915"/>
      <c r="O555" s="1915"/>
      <c r="P555" s="1915"/>
      <c r="Q555" s="1915"/>
      <c r="R555" s="1915"/>
      <c r="S555" s="1915"/>
      <c r="T555" s="1915"/>
      <c r="U555" s="1915"/>
      <c r="V555" s="1915"/>
      <c r="W555" s="1915"/>
      <c r="X555" s="1915"/>
      <c r="Y555" s="1915"/>
      <c r="Z555" s="1915"/>
      <c r="AA555" s="1915"/>
      <c r="AB555" s="1915"/>
      <c r="AC555" s="1915"/>
      <c r="AD555" s="1915"/>
      <c r="AE555" s="1915"/>
      <c r="AF555" s="1915"/>
      <c r="AG555" s="1915"/>
      <c r="AH555" s="1915"/>
      <c r="AI555" s="1915"/>
      <c r="AJ555" s="1915"/>
      <c r="AK555" s="676"/>
      <c r="AL555" s="607"/>
      <c r="AM555" s="637"/>
      <c r="AN555" s="631"/>
    </row>
    <row r="556" spans="1:45" s="584" customFormat="1" ht="12.75" customHeight="1">
      <c r="A556" s="637"/>
      <c r="B556" s="1915"/>
      <c r="C556" s="1915"/>
      <c r="D556" s="1915"/>
      <c r="E556" s="1915"/>
      <c r="F556" s="1915"/>
      <c r="G556" s="1915"/>
      <c r="H556" s="1915"/>
      <c r="I556" s="1915"/>
      <c r="J556" s="1915"/>
      <c r="K556" s="1915"/>
      <c r="L556" s="1915"/>
      <c r="M556" s="1915"/>
      <c r="N556" s="1915"/>
      <c r="O556" s="1915"/>
      <c r="P556" s="1915"/>
      <c r="Q556" s="1915"/>
      <c r="R556" s="1915"/>
      <c r="S556" s="1915"/>
      <c r="T556" s="1915"/>
      <c r="U556" s="1915"/>
      <c r="V556" s="1915"/>
      <c r="W556" s="1915"/>
      <c r="X556" s="1915"/>
      <c r="Y556" s="1915"/>
      <c r="Z556" s="1915"/>
      <c r="AA556" s="1915"/>
      <c r="AB556" s="1915"/>
      <c r="AC556" s="1915"/>
      <c r="AD556" s="1915"/>
      <c r="AE556" s="1915"/>
      <c r="AF556" s="1915"/>
      <c r="AG556" s="1915"/>
      <c r="AH556" s="1915"/>
      <c r="AI556" s="1915"/>
      <c r="AJ556" s="1915"/>
      <c r="AK556" s="676"/>
      <c r="AL556" s="607"/>
      <c r="AM556" s="637"/>
      <c r="AN556" s="631"/>
    </row>
    <row r="557" spans="1:45" s="584" customFormat="1" ht="12.75" customHeight="1">
      <c r="A557" s="637"/>
      <c r="B557" s="1915"/>
      <c r="C557" s="1915"/>
      <c r="D557" s="1915"/>
      <c r="E557" s="1915"/>
      <c r="F557" s="1915"/>
      <c r="G557" s="1915"/>
      <c r="H557" s="1915"/>
      <c r="I557" s="1915"/>
      <c r="J557" s="1915"/>
      <c r="K557" s="1915"/>
      <c r="L557" s="1915"/>
      <c r="M557" s="1915"/>
      <c r="N557" s="1915"/>
      <c r="O557" s="1915"/>
      <c r="P557" s="1915"/>
      <c r="Q557" s="1915"/>
      <c r="R557" s="1915"/>
      <c r="S557" s="1915"/>
      <c r="T557" s="1915"/>
      <c r="U557" s="1915"/>
      <c r="V557" s="1915"/>
      <c r="W557" s="1915"/>
      <c r="X557" s="1915"/>
      <c r="Y557" s="1915"/>
      <c r="Z557" s="1915"/>
      <c r="AA557" s="1915"/>
      <c r="AB557" s="1915"/>
      <c r="AC557" s="1915"/>
      <c r="AD557" s="1915"/>
      <c r="AE557" s="1915"/>
      <c r="AF557" s="1915"/>
      <c r="AG557" s="1915"/>
      <c r="AH557" s="1915"/>
      <c r="AI557" s="1915"/>
      <c r="AJ557" s="1915"/>
      <c r="AK557" s="676"/>
      <c r="AL557" s="607"/>
      <c r="AM557" s="637"/>
      <c r="AN557" s="631"/>
    </row>
    <row r="558" spans="1:45" s="584" customFormat="1" ht="12.75" customHeight="1">
      <c r="A558" s="637"/>
      <c r="B558" s="1915"/>
      <c r="C558" s="1915"/>
      <c r="D558" s="1915"/>
      <c r="E558" s="1915"/>
      <c r="F558" s="1915"/>
      <c r="G558" s="1915"/>
      <c r="H558" s="1915"/>
      <c r="I558" s="1915"/>
      <c r="J558" s="1915"/>
      <c r="K558" s="1915"/>
      <c r="L558" s="1915"/>
      <c r="M558" s="1915"/>
      <c r="N558" s="1915"/>
      <c r="O558" s="1915"/>
      <c r="P558" s="1915"/>
      <c r="Q558" s="1915"/>
      <c r="R558" s="1915"/>
      <c r="S558" s="1915"/>
      <c r="T558" s="1915"/>
      <c r="U558" s="1915"/>
      <c r="V558" s="1915"/>
      <c r="W558" s="1915"/>
      <c r="X558" s="1915"/>
      <c r="Y558" s="1915"/>
      <c r="Z558" s="1915"/>
      <c r="AA558" s="1915"/>
      <c r="AB558" s="1915"/>
      <c r="AC558" s="1915"/>
      <c r="AD558" s="1915"/>
      <c r="AE558" s="1915"/>
      <c r="AF558" s="1915"/>
      <c r="AG558" s="1915"/>
      <c r="AH558" s="1915"/>
      <c r="AI558" s="1915"/>
      <c r="AJ558" s="1915"/>
      <c r="AK558" s="676"/>
      <c r="AL558" s="607"/>
      <c r="AM558" s="637"/>
      <c r="AN558" s="631"/>
    </row>
    <row r="559" spans="1:45" s="584" customFormat="1" ht="12.75" customHeight="1">
      <c r="A559" s="637"/>
      <c r="B559" s="1915"/>
      <c r="C559" s="1915"/>
      <c r="D559" s="1915"/>
      <c r="E559" s="1915"/>
      <c r="F559" s="1915"/>
      <c r="G559" s="1915"/>
      <c r="H559" s="1915"/>
      <c r="I559" s="1915"/>
      <c r="J559" s="1915"/>
      <c r="K559" s="1915"/>
      <c r="L559" s="1915"/>
      <c r="M559" s="1915"/>
      <c r="N559" s="1915"/>
      <c r="O559" s="1915"/>
      <c r="P559" s="1915"/>
      <c r="Q559" s="1915"/>
      <c r="R559" s="1915"/>
      <c r="S559" s="1915"/>
      <c r="T559" s="1915"/>
      <c r="U559" s="1915"/>
      <c r="V559" s="1915"/>
      <c r="W559" s="1915"/>
      <c r="X559" s="1915"/>
      <c r="Y559" s="1915"/>
      <c r="Z559" s="1915"/>
      <c r="AA559" s="1915"/>
      <c r="AB559" s="1915"/>
      <c r="AC559" s="1915"/>
      <c r="AD559" s="1915"/>
      <c r="AE559" s="1915"/>
      <c r="AF559" s="1915"/>
      <c r="AG559" s="1915"/>
      <c r="AH559" s="1915"/>
      <c r="AI559" s="1915"/>
      <c r="AJ559" s="1915"/>
      <c r="AK559" s="676"/>
      <c r="AL559" s="607"/>
      <c r="AM559" s="637"/>
      <c r="AN559" s="631"/>
    </row>
    <row r="560" spans="1:45" ht="12.75" customHeight="1">
      <c r="A560" s="637"/>
      <c r="B560" s="1915"/>
      <c r="C560" s="1915"/>
      <c r="D560" s="1915"/>
      <c r="E560" s="1915"/>
      <c r="F560" s="1915"/>
      <c r="G560" s="1915"/>
      <c r="H560" s="1915"/>
      <c r="I560" s="1915"/>
      <c r="J560" s="1915"/>
      <c r="K560" s="1915"/>
      <c r="L560" s="1915"/>
      <c r="M560" s="1915"/>
      <c r="N560" s="1915"/>
      <c r="O560" s="1915"/>
      <c r="P560" s="1915"/>
      <c r="Q560" s="1915"/>
      <c r="R560" s="1915"/>
      <c r="S560" s="1915"/>
      <c r="T560" s="1915"/>
      <c r="U560" s="1915"/>
      <c r="V560" s="1915"/>
      <c r="W560" s="1915"/>
      <c r="X560" s="1915"/>
      <c r="Y560" s="1915"/>
      <c r="Z560" s="1915"/>
      <c r="AA560" s="1915"/>
      <c r="AB560" s="1915"/>
      <c r="AC560" s="1915"/>
      <c r="AD560" s="1915"/>
      <c r="AE560" s="1915"/>
      <c r="AF560" s="1915"/>
      <c r="AG560" s="1915"/>
      <c r="AH560" s="1915"/>
      <c r="AI560" s="1915"/>
      <c r="AJ560" s="1915"/>
      <c r="AK560" s="676"/>
      <c r="AL560" s="607"/>
      <c r="AM560" s="637"/>
    </row>
    <row r="561" spans="1:42" s="584" customFormat="1" ht="12.75" customHeight="1">
      <c r="B561" s="1915"/>
      <c r="C561" s="1915"/>
      <c r="D561" s="1915"/>
      <c r="E561" s="1915"/>
      <c r="F561" s="1915"/>
      <c r="G561" s="1915"/>
      <c r="H561" s="1915"/>
      <c r="I561" s="1915"/>
      <c r="J561" s="1915"/>
      <c r="K561" s="1915"/>
      <c r="L561" s="1915"/>
      <c r="M561" s="1915"/>
      <c r="N561" s="1915"/>
      <c r="O561" s="1915"/>
      <c r="P561" s="1915"/>
      <c r="Q561" s="1915"/>
      <c r="R561" s="1915"/>
      <c r="S561" s="1915"/>
      <c r="T561" s="1915"/>
      <c r="U561" s="1915"/>
      <c r="V561" s="1915"/>
      <c r="W561" s="1915"/>
      <c r="X561" s="1915"/>
      <c r="Y561" s="1915"/>
      <c r="Z561" s="1915"/>
      <c r="AA561" s="1915"/>
      <c r="AB561" s="1915"/>
      <c r="AC561" s="1915"/>
      <c r="AD561" s="1915"/>
      <c r="AE561" s="1915"/>
      <c r="AF561" s="1915"/>
      <c r="AG561" s="1915"/>
      <c r="AH561" s="1915"/>
      <c r="AI561" s="1915"/>
      <c r="AJ561" s="191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5" t="s">
        <v>1449</v>
      </c>
      <c r="AG567" s="1995"/>
      <c r="AH567" s="1995"/>
      <c r="AI567" s="1995"/>
      <c r="AJ567" s="1995"/>
      <c r="AK567" s="1995"/>
      <c r="AL567" s="1995"/>
      <c r="AN567" s="631"/>
    </row>
    <row r="568" spans="1:42" s="584" customFormat="1" ht="12.75"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5" t="s">
        <v>1507</v>
      </c>
      <c r="AG574" s="1995"/>
      <c r="AH574" s="1995"/>
      <c r="AI574" s="1995"/>
      <c r="AJ574" s="1995"/>
      <c r="AK574" s="1995"/>
      <c r="AL574" s="1995"/>
      <c r="AN574" s="631"/>
    </row>
    <row r="575" spans="1:42" s="584" customFormat="1" ht="12.75"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5" t="s">
        <v>1489</v>
      </c>
      <c r="AG580" s="1995"/>
      <c r="AH580" s="1995"/>
      <c r="AI580" s="1995"/>
      <c r="AJ580" s="1995"/>
      <c r="AK580" s="1995"/>
      <c r="AL580" s="1995"/>
      <c r="AN580" s="631"/>
      <c r="AO580" s="645" t="s">
        <v>1509</v>
      </c>
      <c r="AP580" s="584">
        <v>3</v>
      </c>
    </row>
    <row r="581" spans="1:53" s="584" customFormat="1" ht="12.75"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5" t="s">
        <v>1510</v>
      </c>
      <c r="AG586" s="1995"/>
      <c r="AH586" s="1995"/>
      <c r="AI586" s="1995"/>
      <c r="AJ586" s="1995"/>
      <c r="AK586" s="1995"/>
      <c r="AL586" s="1995"/>
      <c r="AN586" s="631"/>
      <c r="AO586" s="584" t="str">
        <f>X623</f>
        <v>N/A</v>
      </c>
    </row>
    <row r="587" spans="1:53" s="584" customFormat="1" ht="12.75"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2054</v>
      </c>
      <c r="O590" s="2034" t="s">
        <v>1290</v>
      </c>
      <c r="P590" s="2034"/>
      <c r="Q590" s="2034"/>
      <c r="R590" s="2034"/>
      <c r="S590" s="2034"/>
      <c r="T590" s="2034"/>
      <c r="U590" s="2034"/>
      <c r="V590" s="2034"/>
      <c r="W590" s="2034"/>
      <c r="X590" s="2034"/>
      <c r="Y590" s="2034"/>
      <c r="Z590" s="2034"/>
      <c r="AA590" s="2034"/>
      <c r="AB590" s="2034"/>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5" t="s">
        <v>1463</v>
      </c>
      <c r="AG592" s="1995"/>
      <c r="AH592" s="1995"/>
      <c r="AI592" s="1995"/>
      <c r="AJ592" s="1995"/>
      <c r="AK592" s="1995"/>
      <c r="AL592" s="1995"/>
      <c r="AN592" s="631"/>
    </row>
    <row r="593" spans="2:47" s="584" customFormat="1" ht="12.75"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1939" t="s">
        <v>1508</v>
      </c>
      <c r="I595" s="1939"/>
      <c r="J595" s="971"/>
      <c r="K595" s="971"/>
      <c r="L595" s="971"/>
      <c r="N595" s="22"/>
      <c r="O595" s="22"/>
      <c r="P595" s="22"/>
      <c r="Q595" s="1195" t="s">
        <v>2538</v>
      </c>
      <c r="R595" s="2035"/>
      <c r="S595" s="2035"/>
      <c r="T595" s="2035"/>
      <c r="U595" s="2035"/>
      <c r="V595" s="2035"/>
      <c r="W595" s="2035"/>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6" t="str">
        <f>IF(AND(H595="(i)",NOT(AP571)),AO588,IF(AND(H595="(iv)",OR(R595=AO584,R595=AO583),NOT(AP572)),AO589,""))</f>
        <v/>
      </c>
      <c r="Z596" s="2036"/>
      <c r="AA596" s="2036"/>
      <c r="AB596" s="2036"/>
      <c r="AC596" s="2036"/>
      <c r="AD596" s="2036"/>
      <c r="AE596" s="2036"/>
      <c r="AF596" s="2036"/>
      <c r="AG596" s="2036"/>
      <c r="AH596" s="2036"/>
      <c r="AI596" s="2036"/>
      <c r="AJ596" s="2036"/>
      <c r="AK596" s="2036"/>
      <c r="AL596" s="2036"/>
      <c r="AM596" s="2037"/>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6"/>
      <c r="Z597" s="2036"/>
      <c r="AA597" s="2036"/>
      <c r="AB597" s="2036"/>
      <c r="AC597" s="2036"/>
      <c r="AD597" s="2036"/>
      <c r="AE597" s="2036"/>
      <c r="AF597" s="2036"/>
      <c r="AG597" s="2036"/>
      <c r="AH597" s="2036"/>
      <c r="AI597" s="2036"/>
      <c r="AJ597" s="2036"/>
      <c r="AK597" s="2036"/>
      <c r="AL597" s="2036"/>
      <c r="AM597" s="2037"/>
      <c r="AN597" s="631"/>
      <c r="AO597" s="645"/>
      <c r="AT597" s="645"/>
    </row>
    <row r="598" spans="2:47" s="584" customFormat="1" ht="12.75"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33" t="s">
        <v>599</v>
      </c>
      <c r="J603" s="2033"/>
      <c r="K603" s="2033"/>
      <c r="L603" s="2033"/>
      <c r="M603" s="2033"/>
      <c r="N603" s="2033"/>
      <c r="O603" s="2033"/>
      <c r="P603" s="2033"/>
      <c r="Q603" s="2033"/>
      <c r="R603" s="2033"/>
      <c r="S603" s="2033"/>
      <c r="T603" s="2033"/>
      <c r="U603" s="2033"/>
      <c r="V603" s="2033"/>
      <c r="W603" s="2033"/>
      <c r="X603" s="2033"/>
      <c r="Y603" s="2033"/>
      <c r="Z603" s="2033"/>
      <c r="AA603" s="2033"/>
      <c r="AB603" s="2033"/>
      <c r="AC603" s="2033"/>
      <c r="AD603" s="2033"/>
      <c r="AE603" s="2033"/>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31" t="s">
        <v>599</v>
      </c>
      <c r="C605" s="2031"/>
      <c r="D605" s="676"/>
      <c r="E605" s="1915" t="s">
        <v>1514</v>
      </c>
      <c r="F605" s="1915"/>
      <c r="G605" s="1915"/>
      <c r="H605" s="1915"/>
      <c r="I605" s="1915"/>
      <c r="J605" s="1915"/>
      <c r="K605" s="1915"/>
      <c r="L605" s="1915"/>
      <c r="M605" s="1915"/>
      <c r="N605" s="1915"/>
      <c r="O605" s="1915"/>
      <c r="P605" s="1915"/>
      <c r="Q605" s="1915"/>
      <c r="R605" s="1915"/>
      <c r="S605" s="1915"/>
      <c r="T605" s="1915"/>
      <c r="U605" s="1915"/>
      <c r="V605" s="1915"/>
      <c r="W605" s="1915"/>
      <c r="X605" s="1915"/>
      <c r="Y605" s="1915"/>
      <c r="Z605" s="1915"/>
      <c r="AA605" s="1915"/>
      <c r="AB605" s="1915"/>
      <c r="AC605" s="1915"/>
      <c r="AD605" s="1915"/>
      <c r="AE605" s="1915"/>
      <c r="AF605" s="1915"/>
      <c r="AG605" s="1915"/>
      <c r="AH605" s="676"/>
      <c r="AI605" s="676"/>
      <c r="AJ605" s="676"/>
      <c r="AK605" s="676"/>
      <c r="AL605" s="676"/>
      <c r="AN605" s="631"/>
    </row>
    <row r="606" spans="2:47" s="584" customFormat="1" ht="12.75" customHeight="1">
      <c r="B606" s="570"/>
      <c r="C606" s="968"/>
      <c r="D606" s="676"/>
      <c r="E606" s="1915"/>
      <c r="F606" s="1915"/>
      <c r="G606" s="1915"/>
      <c r="H606" s="1915"/>
      <c r="I606" s="1915"/>
      <c r="J606" s="1915"/>
      <c r="K606" s="1915"/>
      <c r="L606" s="1915"/>
      <c r="M606" s="1915"/>
      <c r="N606" s="1915"/>
      <c r="O606" s="1915"/>
      <c r="P606" s="1915"/>
      <c r="Q606" s="1915"/>
      <c r="R606" s="1915"/>
      <c r="S606" s="1915"/>
      <c r="T606" s="1915"/>
      <c r="U606" s="1915"/>
      <c r="V606" s="1915"/>
      <c r="W606" s="1915"/>
      <c r="X606" s="1915"/>
      <c r="Y606" s="1915"/>
      <c r="Z606" s="1915"/>
      <c r="AA606" s="1915"/>
      <c r="AB606" s="1915"/>
      <c r="AC606" s="1915"/>
      <c r="AD606" s="1915"/>
      <c r="AE606" s="1915"/>
      <c r="AF606" s="1915"/>
      <c r="AG606" s="1915"/>
      <c r="AH606" s="676"/>
      <c r="AI606" s="676"/>
      <c r="AJ606" s="676"/>
      <c r="AK606" s="676"/>
      <c r="AL606" s="676"/>
      <c r="AN606" s="631"/>
    </row>
    <row r="607" spans="2:47" s="584" customFormat="1" ht="12.75" customHeight="1">
      <c r="B607" s="570"/>
      <c r="C607" s="968"/>
      <c r="D607" s="676"/>
      <c r="E607" s="1915"/>
      <c r="F607" s="1915"/>
      <c r="G607" s="1915"/>
      <c r="H607" s="1915"/>
      <c r="I607" s="1915"/>
      <c r="J607" s="1915"/>
      <c r="K607" s="1915"/>
      <c r="L607" s="1915"/>
      <c r="M607" s="1915"/>
      <c r="N607" s="1915"/>
      <c r="O607" s="1915"/>
      <c r="P607" s="1915"/>
      <c r="Q607" s="1915"/>
      <c r="R607" s="1915"/>
      <c r="S607" s="1915"/>
      <c r="T607" s="1915"/>
      <c r="U607" s="1915"/>
      <c r="V607" s="1915"/>
      <c r="W607" s="1915"/>
      <c r="X607" s="1915"/>
      <c r="Y607" s="1915"/>
      <c r="Z607" s="1915"/>
      <c r="AA607" s="1915"/>
      <c r="AB607" s="1915"/>
      <c r="AC607" s="1915"/>
      <c r="AD607" s="1915"/>
      <c r="AE607" s="1915"/>
      <c r="AF607" s="1915"/>
      <c r="AG607" s="1915"/>
      <c r="AH607" s="676"/>
      <c r="AI607" s="676"/>
      <c r="AJ607" s="676"/>
      <c r="AK607" s="676"/>
      <c r="AL607" s="676"/>
      <c r="AN607" s="631"/>
    </row>
    <row r="608" spans="2:47" s="584" customFormat="1" ht="12.75" customHeight="1">
      <c r="B608" s="570"/>
      <c r="C608" s="968"/>
      <c r="D608" s="676"/>
      <c r="E608" s="1915"/>
      <c r="F608" s="1915"/>
      <c r="G608" s="1915"/>
      <c r="H608" s="1915"/>
      <c r="I608" s="1915"/>
      <c r="J608" s="1915"/>
      <c r="K608" s="1915"/>
      <c r="L608" s="1915"/>
      <c r="M608" s="1915"/>
      <c r="N608" s="1915"/>
      <c r="O608" s="1915"/>
      <c r="P608" s="1915"/>
      <c r="Q608" s="1915"/>
      <c r="R608" s="1915"/>
      <c r="S608" s="1915"/>
      <c r="T608" s="1915"/>
      <c r="U608" s="1915"/>
      <c r="V608" s="1915"/>
      <c r="W608" s="1915"/>
      <c r="X608" s="1915"/>
      <c r="Y608" s="1915"/>
      <c r="Z608" s="1915"/>
      <c r="AA608" s="1915"/>
      <c r="AB608" s="1915"/>
      <c r="AC608" s="1915"/>
      <c r="AD608" s="1915"/>
      <c r="AE608" s="1915"/>
      <c r="AF608" s="1915"/>
      <c r="AG608" s="191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22">
        <f>VLOOKUP($H$595,$AO$575:$AP$580,2,FALSE)+IF(R595=AO583,0,VLOOKUP($I$603,$AO$602:$AP$604,2,FALSE))</f>
        <v>4</v>
      </c>
      <c r="AK610" s="192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2" t="s">
        <v>1881</v>
      </c>
      <c r="F614" s="2032"/>
      <c r="G614" s="2032"/>
      <c r="H614" s="2032"/>
      <c r="I614" s="2032"/>
      <c r="J614" s="2032"/>
      <c r="K614" s="2032"/>
      <c r="L614" s="2032"/>
      <c r="M614" s="2032"/>
      <c r="N614" s="2032"/>
      <c r="O614" s="2032"/>
      <c r="P614" s="2032"/>
      <c r="Q614" s="2032"/>
      <c r="R614" s="2032"/>
      <c r="S614" s="2032"/>
      <c r="T614" s="2032"/>
      <c r="U614" s="2032"/>
      <c r="V614" s="2032"/>
      <c r="W614" s="2032"/>
      <c r="X614" s="2032"/>
      <c r="Y614" s="2032"/>
      <c r="Z614" s="2032"/>
      <c r="AA614" s="2032"/>
      <c r="AB614" s="2032"/>
      <c r="AC614" s="2032"/>
      <c r="AD614" s="2032"/>
      <c r="AE614" s="573"/>
      <c r="AF614" s="1995" t="s">
        <v>1463</v>
      </c>
      <c r="AG614" s="1995"/>
      <c r="AH614" s="1995"/>
      <c r="AI614" s="1995"/>
      <c r="AJ614" s="1995"/>
      <c r="AK614" s="1995"/>
      <c r="AL614" s="1995"/>
      <c r="AM614" s="584"/>
      <c r="AN614" s="712"/>
    </row>
    <row r="615" spans="1:42" s="584" customFormat="1" ht="12.75" customHeight="1">
      <c r="A615" s="713"/>
      <c r="B615" s="570"/>
      <c r="C615" s="968"/>
      <c r="D615" s="697"/>
      <c r="E615" s="2032"/>
      <c r="F615" s="2032"/>
      <c r="G615" s="2032"/>
      <c r="H615" s="2032"/>
      <c r="I615" s="2032"/>
      <c r="J615" s="2032"/>
      <c r="K615" s="2032"/>
      <c r="L615" s="2032"/>
      <c r="M615" s="2032"/>
      <c r="N615" s="2032"/>
      <c r="O615" s="2032"/>
      <c r="P615" s="2032"/>
      <c r="Q615" s="2032"/>
      <c r="R615" s="2032"/>
      <c r="S615" s="2032"/>
      <c r="T615" s="2032"/>
      <c r="U615" s="2032"/>
      <c r="V615" s="2032"/>
      <c r="W615" s="2032"/>
      <c r="X615" s="2032"/>
      <c r="Y615" s="2032"/>
      <c r="Z615" s="2032"/>
      <c r="AA615" s="2032"/>
      <c r="AB615" s="2032"/>
      <c r="AC615" s="2032"/>
      <c r="AD615" s="2032"/>
      <c r="AE615" s="570"/>
      <c r="AF615" s="570"/>
      <c r="AG615" s="570"/>
      <c r="AH615" s="570"/>
      <c r="AI615" s="570"/>
      <c r="AJ615" s="570"/>
      <c r="AK615" s="570"/>
      <c r="AL615" s="570"/>
      <c r="AN615" s="631"/>
    </row>
    <row r="616" spans="1:42" s="584" customFormat="1" ht="12.75" customHeight="1">
      <c r="B616" s="570"/>
      <c r="C616" s="966"/>
      <c r="D616" s="697"/>
      <c r="E616" s="2032"/>
      <c r="F616" s="2032"/>
      <c r="G616" s="2032"/>
      <c r="H616" s="2032"/>
      <c r="I616" s="2032"/>
      <c r="J616" s="2032"/>
      <c r="K616" s="2032"/>
      <c r="L616" s="2032"/>
      <c r="M616" s="2032"/>
      <c r="N616" s="2032"/>
      <c r="O616" s="2032"/>
      <c r="P616" s="2032"/>
      <c r="Q616" s="2032"/>
      <c r="R616" s="2032"/>
      <c r="S616" s="2032"/>
      <c r="T616" s="2032"/>
      <c r="U616" s="2032"/>
      <c r="V616" s="2032"/>
      <c r="W616" s="2032"/>
      <c r="X616" s="2032"/>
      <c r="Y616" s="2032"/>
      <c r="Z616" s="2032"/>
      <c r="AA616" s="2032"/>
      <c r="AB616" s="2032"/>
      <c r="AC616" s="2032"/>
      <c r="AD616" s="2032"/>
      <c r="AE616" s="570"/>
      <c r="AF616" s="570"/>
      <c r="AG616" s="570"/>
      <c r="AH616" s="570"/>
      <c r="AI616" s="570"/>
      <c r="AJ616" s="570"/>
      <c r="AK616" s="570"/>
      <c r="AL616" s="570"/>
      <c r="AN616" s="631"/>
    </row>
    <row r="617" spans="1:42" s="584" customFormat="1" ht="12.75" customHeight="1">
      <c r="B617" s="570"/>
      <c r="C617" s="966"/>
      <c r="D617" s="697"/>
      <c r="E617" s="2032"/>
      <c r="F617" s="2032"/>
      <c r="G617" s="2032"/>
      <c r="H617" s="2032"/>
      <c r="I617" s="2032"/>
      <c r="J617" s="2032"/>
      <c r="K617" s="2032"/>
      <c r="L617" s="2032"/>
      <c r="M617" s="2032"/>
      <c r="N617" s="2032"/>
      <c r="O617" s="2032"/>
      <c r="P617" s="2032"/>
      <c r="Q617" s="2032"/>
      <c r="R617" s="2032"/>
      <c r="S617" s="2032"/>
      <c r="T617" s="2032"/>
      <c r="U617" s="2032"/>
      <c r="V617" s="2032"/>
      <c r="W617" s="2032"/>
      <c r="X617" s="2032"/>
      <c r="Y617" s="2032"/>
      <c r="Z617" s="2032"/>
      <c r="AA617" s="2032"/>
      <c r="AB617" s="2032"/>
      <c r="AC617" s="2032"/>
      <c r="AD617" s="2032"/>
      <c r="AE617" s="570"/>
      <c r="AF617" s="570"/>
      <c r="AG617" s="570"/>
      <c r="AH617" s="570"/>
      <c r="AI617" s="570"/>
      <c r="AJ617" s="570"/>
      <c r="AK617" s="570"/>
      <c r="AL617" s="570"/>
      <c r="AN617" s="631"/>
    </row>
    <row r="618" spans="1:42" s="584" customFormat="1" ht="12.75" customHeight="1">
      <c r="B618" s="570"/>
      <c r="C618" s="966"/>
      <c r="D618" s="697"/>
      <c r="E618" s="2032"/>
      <c r="F618" s="2032"/>
      <c r="G618" s="2032"/>
      <c r="H618" s="2032"/>
      <c r="I618" s="2032"/>
      <c r="J618" s="2032"/>
      <c r="K618" s="2032"/>
      <c r="L618" s="2032"/>
      <c r="M618" s="2032"/>
      <c r="N618" s="2032"/>
      <c r="O618" s="2032"/>
      <c r="P618" s="2032"/>
      <c r="Q618" s="2032"/>
      <c r="R618" s="2032"/>
      <c r="S618" s="2032"/>
      <c r="T618" s="2032"/>
      <c r="U618" s="2032"/>
      <c r="V618" s="2032"/>
      <c r="W618" s="2032"/>
      <c r="X618" s="2032"/>
      <c r="Y618" s="2032"/>
      <c r="Z618" s="2032"/>
      <c r="AA618" s="2032"/>
      <c r="AB618" s="2032"/>
      <c r="AC618" s="2032"/>
      <c r="AD618" s="2032"/>
      <c r="AE618" s="570"/>
      <c r="AF618" s="570"/>
      <c r="AG618" s="570"/>
      <c r="AH618" s="570"/>
      <c r="AI618" s="570"/>
      <c r="AJ618" s="570"/>
      <c r="AK618" s="570"/>
      <c r="AL618" s="570"/>
      <c r="AN618" s="631"/>
    </row>
    <row r="619" spans="1:42" s="584" customFormat="1" ht="12.75" customHeight="1">
      <c r="B619" s="570"/>
      <c r="C619" s="966"/>
      <c r="D619" s="697"/>
      <c r="E619" s="2032"/>
      <c r="F619" s="2032"/>
      <c r="G619" s="2032"/>
      <c r="H619" s="2032"/>
      <c r="I619" s="2032"/>
      <c r="J619" s="2032"/>
      <c r="K619" s="2032"/>
      <c r="L619" s="2032"/>
      <c r="M619" s="2032"/>
      <c r="N619" s="2032"/>
      <c r="O619" s="2032"/>
      <c r="P619" s="2032"/>
      <c r="Q619" s="2032"/>
      <c r="R619" s="2032"/>
      <c r="S619" s="2032"/>
      <c r="T619" s="2032"/>
      <c r="U619" s="2032"/>
      <c r="V619" s="2032"/>
      <c r="W619" s="2032"/>
      <c r="X619" s="2032"/>
      <c r="Y619" s="2032"/>
      <c r="Z619" s="2032"/>
      <c r="AA619" s="2032"/>
      <c r="AB619" s="2032"/>
      <c r="AC619" s="2032"/>
      <c r="AD619" s="2032"/>
      <c r="AE619" s="570"/>
      <c r="AF619" s="570"/>
      <c r="AG619" s="570"/>
      <c r="AH619" s="570"/>
      <c r="AI619" s="570"/>
      <c r="AJ619" s="570"/>
      <c r="AK619" s="570"/>
      <c r="AL619" s="570"/>
      <c r="AN619" s="631"/>
    </row>
    <row r="620" spans="1:42" s="584" customFormat="1" ht="12.75" customHeight="1">
      <c r="A620" s="671"/>
      <c r="B620" s="650"/>
      <c r="C620" s="975"/>
      <c r="D620" s="697"/>
      <c r="E620" s="2032"/>
      <c r="F620" s="2032"/>
      <c r="G620" s="2032"/>
      <c r="H620" s="2032"/>
      <c r="I620" s="2032"/>
      <c r="J620" s="2032"/>
      <c r="K620" s="2032"/>
      <c r="L620" s="2032"/>
      <c r="M620" s="2032"/>
      <c r="N620" s="2032"/>
      <c r="O620" s="2032"/>
      <c r="P620" s="2032"/>
      <c r="Q620" s="2032"/>
      <c r="R620" s="2032"/>
      <c r="S620" s="2032"/>
      <c r="T620" s="2032"/>
      <c r="U620" s="2032"/>
      <c r="V620" s="2032"/>
      <c r="W620" s="2032"/>
      <c r="X620" s="2032"/>
      <c r="Y620" s="2032"/>
      <c r="Z620" s="2032"/>
      <c r="AA620" s="2032"/>
      <c r="AB620" s="2032"/>
      <c r="AC620" s="2032"/>
      <c r="AD620" s="2032"/>
      <c r="AE620" s="650"/>
      <c r="AF620" s="650"/>
      <c r="AG620" s="650"/>
      <c r="AH620" s="650"/>
      <c r="AI620" s="650"/>
      <c r="AJ620" s="650"/>
      <c r="AK620" s="570"/>
      <c r="AL620" s="570"/>
      <c r="AN620" s="631"/>
    </row>
    <row r="621" spans="1:42" s="584" customFormat="1" ht="12.75" customHeight="1">
      <c r="B621" s="650"/>
      <c r="C621" s="975"/>
      <c r="D621" s="697"/>
      <c r="E621" s="2032"/>
      <c r="F621" s="2032"/>
      <c r="G621" s="2032"/>
      <c r="H621" s="2032"/>
      <c r="I621" s="2032"/>
      <c r="J621" s="2032"/>
      <c r="K621" s="2032"/>
      <c r="L621" s="2032"/>
      <c r="M621" s="2032"/>
      <c r="N621" s="2032"/>
      <c r="O621" s="2032"/>
      <c r="P621" s="2032"/>
      <c r="Q621" s="2032"/>
      <c r="R621" s="2032"/>
      <c r="S621" s="2032"/>
      <c r="T621" s="2032"/>
      <c r="U621" s="2032"/>
      <c r="V621" s="2032"/>
      <c r="W621" s="2032"/>
      <c r="X621" s="2032"/>
      <c r="Y621" s="2032"/>
      <c r="Z621" s="2032"/>
      <c r="AA621" s="2032"/>
      <c r="AB621" s="2032"/>
      <c r="AC621" s="2032"/>
      <c r="AD621" s="203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31" t="s">
        <v>599</v>
      </c>
      <c r="Y623" s="2031"/>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5" t="s">
        <v>1519</v>
      </c>
      <c r="AG625" s="1995"/>
      <c r="AH625" s="1995"/>
      <c r="AI625" s="1995"/>
      <c r="AJ625" s="1995"/>
      <c r="AK625" s="1995"/>
      <c r="AL625" s="1995"/>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39" t="s">
        <v>696</v>
      </c>
      <c r="I627" s="193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22">
        <f>VLOOKUP($H$627,$AO$594:$AP$596,2,FALSE)</f>
        <v>3</v>
      </c>
      <c r="AK629" s="1924"/>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5" t="s">
        <v>2413</v>
      </c>
      <c r="F633" s="1915"/>
      <c r="G633" s="1915"/>
      <c r="H633" s="1915"/>
      <c r="I633" s="1915"/>
      <c r="J633" s="1915"/>
      <c r="K633" s="1915"/>
      <c r="L633" s="1915"/>
      <c r="M633" s="1915"/>
      <c r="N633" s="1915"/>
      <c r="O633" s="1915"/>
      <c r="P633" s="1915"/>
      <c r="Q633" s="1915"/>
      <c r="R633" s="1915"/>
      <c r="S633" s="1915"/>
      <c r="T633" s="1915"/>
      <c r="U633" s="1915"/>
      <c r="V633" s="1915"/>
      <c r="W633" s="1915"/>
      <c r="X633" s="1915"/>
      <c r="Y633" s="1915"/>
      <c r="Z633" s="1915"/>
      <c r="AA633" s="1915"/>
      <c r="AB633" s="1915"/>
      <c r="AC633" s="1915"/>
      <c r="AD633" s="1915"/>
      <c r="AE633" s="570"/>
      <c r="AF633" s="1995" t="s">
        <v>1463</v>
      </c>
      <c r="AG633" s="1995"/>
      <c r="AH633" s="1995"/>
      <c r="AI633" s="1995"/>
      <c r="AJ633" s="1995"/>
      <c r="AK633" s="1995"/>
      <c r="AL633" s="1995"/>
      <c r="AN633" s="631"/>
    </row>
    <row r="634" spans="1:42" s="584" customFormat="1" ht="12.75" customHeight="1">
      <c r="B634" s="570"/>
      <c r="C634" s="570"/>
      <c r="D634" s="697"/>
      <c r="E634" s="1915"/>
      <c r="F634" s="1915"/>
      <c r="G634" s="1915"/>
      <c r="H634" s="1915"/>
      <c r="I634" s="1915"/>
      <c r="J634" s="1915"/>
      <c r="K634" s="1915"/>
      <c r="L634" s="1915"/>
      <c r="M634" s="1915"/>
      <c r="N634" s="1915"/>
      <c r="O634" s="1915"/>
      <c r="P634" s="1915"/>
      <c r="Q634" s="1915"/>
      <c r="R634" s="1915"/>
      <c r="S634" s="1915"/>
      <c r="T634" s="1915"/>
      <c r="U634" s="1915"/>
      <c r="V634" s="1915"/>
      <c r="W634" s="1915"/>
      <c r="X634" s="1915"/>
      <c r="Y634" s="1915"/>
      <c r="Z634" s="1915"/>
      <c r="AA634" s="1915"/>
      <c r="AB634" s="1915"/>
      <c r="AC634" s="1915"/>
      <c r="AD634" s="191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5" t="s">
        <v>1519</v>
      </c>
      <c r="AG636" s="1995"/>
      <c r="AH636" s="1995"/>
      <c r="AI636" s="1995"/>
      <c r="AJ636" s="1995"/>
      <c r="AK636" s="1995"/>
      <c r="AL636" s="1995"/>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39" t="s">
        <v>517</v>
      </c>
      <c r="I639" s="193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22">
        <f>VLOOKUP(H639,AT594:AU596,2,FALSE)</f>
        <v>2</v>
      </c>
      <c r="AK641" s="192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5" t="s">
        <v>1529</v>
      </c>
      <c r="F646" s="1915"/>
      <c r="G646" s="1915"/>
      <c r="H646" s="1915"/>
      <c r="I646" s="1915"/>
      <c r="J646" s="1915"/>
      <c r="K646" s="1915"/>
      <c r="L646" s="1915"/>
      <c r="M646" s="1915"/>
      <c r="N646" s="1915"/>
      <c r="O646" s="1915"/>
      <c r="P646" s="1915"/>
      <c r="Q646" s="1915"/>
      <c r="R646" s="1915"/>
      <c r="S646" s="1915"/>
      <c r="T646" s="1915"/>
      <c r="U646" s="1915"/>
      <c r="V646" s="1915"/>
      <c r="W646" s="1915"/>
      <c r="X646" s="1915"/>
      <c r="Y646" s="1915"/>
      <c r="Z646" s="1915"/>
      <c r="AA646" s="1915"/>
      <c r="AB646" s="1915"/>
      <c r="AC646" s="1915"/>
      <c r="AD646" s="570"/>
      <c r="AE646" s="570"/>
      <c r="AF646" s="1995" t="s">
        <v>1489</v>
      </c>
      <c r="AG646" s="1995"/>
      <c r="AH646" s="1995"/>
      <c r="AI646" s="1995"/>
      <c r="AJ646" s="1995"/>
      <c r="AK646" s="1995"/>
      <c r="AL646" s="1995"/>
      <c r="AN646" s="631"/>
    </row>
    <row r="647" spans="1:42" s="584" customFormat="1" ht="12.75" customHeight="1">
      <c r="B647" s="570"/>
      <c r="C647" s="573"/>
      <c r="D647" s="570"/>
      <c r="E647" s="1915"/>
      <c r="F647" s="1915"/>
      <c r="G647" s="1915"/>
      <c r="H647" s="1915"/>
      <c r="I647" s="1915"/>
      <c r="J647" s="1915"/>
      <c r="K647" s="1915"/>
      <c r="L647" s="1915"/>
      <c r="M647" s="1915"/>
      <c r="N647" s="1915"/>
      <c r="O647" s="1915"/>
      <c r="P647" s="1915"/>
      <c r="Q647" s="1915"/>
      <c r="R647" s="1915"/>
      <c r="S647" s="1915"/>
      <c r="T647" s="1915"/>
      <c r="U647" s="1915"/>
      <c r="V647" s="1915"/>
      <c r="W647" s="1915"/>
      <c r="X647" s="1915"/>
      <c r="Y647" s="1915"/>
      <c r="Z647" s="1915"/>
      <c r="AA647" s="1915"/>
      <c r="AB647" s="1915"/>
      <c r="AC647" s="1915"/>
      <c r="AD647" s="570"/>
      <c r="AE647" s="570"/>
      <c r="AF647" s="570"/>
      <c r="AG647" s="570"/>
      <c r="AH647" s="570"/>
      <c r="AI647" s="570"/>
      <c r="AJ647" s="570"/>
      <c r="AK647" s="570"/>
      <c r="AL647" s="570"/>
      <c r="AN647" s="631"/>
    </row>
    <row r="648" spans="1:42" s="584" customFormat="1" ht="12.75" customHeight="1">
      <c r="B648" s="570"/>
      <c r="C648" s="573"/>
      <c r="D648" s="697"/>
      <c r="E648" s="1915"/>
      <c r="F648" s="1915"/>
      <c r="G648" s="1915"/>
      <c r="H648" s="1915"/>
      <c r="I648" s="1915"/>
      <c r="J648" s="1915"/>
      <c r="K648" s="1915"/>
      <c r="L648" s="1915"/>
      <c r="M648" s="1915"/>
      <c r="N648" s="1915"/>
      <c r="O648" s="1915"/>
      <c r="P648" s="1915"/>
      <c r="Q648" s="1915"/>
      <c r="R648" s="1915"/>
      <c r="S648" s="1915"/>
      <c r="T648" s="1915"/>
      <c r="U648" s="1915"/>
      <c r="V648" s="1915"/>
      <c r="W648" s="1915"/>
      <c r="X648" s="1915"/>
      <c r="Y648" s="1915"/>
      <c r="Z648" s="1915"/>
      <c r="AA648" s="1915"/>
      <c r="AB648" s="1915"/>
      <c r="AC648" s="191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5" t="s">
        <v>1530</v>
      </c>
      <c r="F650" s="1915"/>
      <c r="G650" s="1915"/>
      <c r="H650" s="1915"/>
      <c r="I650" s="1915"/>
      <c r="J650" s="1915"/>
      <c r="K650" s="1915"/>
      <c r="L650" s="1915"/>
      <c r="M650" s="1915"/>
      <c r="N650" s="1915"/>
      <c r="O650" s="1915"/>
      <c r="P650" s="1915"/>
      <c r="Q650" s="1915"/>
      <c r="R650" s="1915"/>
      <c r="S650" s="1915"/>
      <c r="T650" s="1915"/>
      <c r="U650" s="1915"/>
      <c r="V650" s="1915"/>
      <c r="W650" s="1915"/>
      <c r="X650" s="1915"/>
      <c r="Y650" s="1915"/>
      <c r="Z650" s="1915"/>
      <c r="AA650" s="1915"/>
      <c r="AB650" s="1915"/>
      <c r="AC650" s="1915"/>
      <c r="AD650" s="570"/>
      <c r="AE650" s="570"/>
      <c r="AF650" s="1995" t="s">
        <v>1510</v>
      </c>
      <c r="AG650" s="1995"/>
      <c r="AH650" s="1995"/>
      <c r="AI650" s="1995"/>
      <c r="AJ650" s="1995"/>
      <c r="AK650" s="1995"/>
      <c r="AL650" s="1995"/>
      <c r="AN650" s="631"/>
    </row>
    <row r="651" spans="1:42" s="584" customFormat="1" ht="12.75" customHeight="1">
      <c r="B651" s="570"/>
      <c r="C651" s="573"/>
      <c r="D651" s="570"/>
      <c r="E651" s="1915"/>
      <c r="F651" s="1915"/>
      <c r="G651" s="1915"/>
      <c r="H651" s="1915"/>
      <c r="I651" s="1915"/>
      <c r="J651" s="1915"/>
      <c r="K651" s="1915"/>
      <c r="L651" s="1915"/>
      <c r="M651" s="1915"/>
      <c r="N651" s="1915"/>
      <c r="O651" s="1915"/>
      <c r="P651" s="1915"/>
      <c r="Q651" s="1915"/>
      <c r="R651" s="1915"/>
      <c r="S651" s="1915"/>
      <c r="T651" s="1915"/>
      <c r="U651" s="1915"/>
      <c r="V651" s="1915"/>
      <c r="W651" s="1915"/>
      <c r="X651" s="1915"/>
      <c r="Y651" s="1915"/>
      <c r="Z651" s="1915"/>
      <c r="AA651" s="1915"/>
      <c r="AB651" s="1915"/>
      <c r="AC651" s="1915"/>
      <c r="AD651" s="570"/>
      <c r="AE651" s="570"/>
      <c r="AF651" s="570"/>
      <c r="AG651" s="570"/>
      <c r="AH651" s="570"/>
      <c r="AI651" s="570"/>
      <c r="AJ651" s="570"/>
      <c r="AK651" s="570"/>
      <c r="AL651" s="570"/>
      <c r="AN651" s="631"/>
    </row>
    <row r="652" spans="1:42" s="584" customFormat="1" ht="15" customHeight="1">
      <c r="B652" s="570"/>
      <c r="C652" s="573"/>
      <c r="D652" s="697"/>
      <c r="E652" s="1915"/>
      <c r="F652" s="1915"/>
      <c r="G652" s="1915"/>
      <c r="H652" s="1915"/>
      <c r="I652" s="1915"/>
      <c r="J652" s="1915"/>
      <c r="K652" s="1915"/>
      <c r="L652" s="1915"/>
      <c r="M652" s="1915"/>
      <c r="N652" s="1915"/>
      <c r="O652" s="1915"/>
      <c r="P652" s="1915"/>
      <c r="Q652" s="1915"/>
      <c r="R652" s="1915"/>
      <c r="S652" s="1915"/>
      <c r="T652" s="1915"/>
      <c r="U652" s="1915"/>
      <c r="V652" s="1915"/>
      <c r="W652" s="1915"/>
      <c r="X652" s="1915"/>
      <c r="Y652" s="1915"/>
      <c r="Z652" s="1915"/>
      <c r="AA652" s="1915"/>
      <c r="AB652" s="1915"/>
      <c r="AC652" s="191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5" t="s">
        <v>1531</v>
      </c>
      <c r="F654" s="1915"/>
      <c r="G654" s="1915"/>
      <c r="H654" s="1915"/>
      <c r="I654" s="1915"/>
      <c r="J654" s="1915"/>
      <c r="K654" s="1915"/>
      <c r="L654" s="1915"/>
      <c r="M654" s="1915"/>
      <c r="N654" s="1915"/>
      <c r="O654" s="1915"/>
      <c r="P654" s="1915"/>
      <c r="Q654" s="1915"/>
      <c r="R654" s="1915"/>
      <c r="S654" s="1915"/>
      <c r="T654" s="1915"/>
      <c r="U654" s="1915"/>
      <c r="V654" s="1915"/>
      <c r="W654" s="1915"/>
      <c r="X654" s="1915"/>
      <c r="Y654" s="1915"/>
      <c r="Z654" s="1915"/>
      <c r="AA654" s="1915"/>
      <c r="AB654" s="1915"/>
      <c r="AC654" s="1915"/>
      <c r="AD654" s="570"/>
      <c r="AE654" s="570"/>
      <c r="AF654" s="1995" t="s">
        <v>1463</v>
      </c>
      <c r="AG654" s="1995"/>
      <c r="AH654" s="1995"/>
      <c r="AI654" s="1995"/>
      <c r="AJ654" s="1995"/>
      <c r="AK654" s="1995"/>
      <c r="AL654" s="1995"/>
      <c r="AN654" s="631"/>
    </row>
    <row r="655" spans="1:42" s="584" customFormat="1" ht="12.75" customHeight="1">
      <c r="B655" s="570"/>
      <c r="C655" s="966"/>
      <c r="D655" s="570"/>
      <c r="E655" s="1915"/>
      <c r="F655" s="1915"/>
      <c r="G655" s="1915"/>
      <c r="H655" s="1915"/>
      <c r="I655" s="1915"/>
      <c r="J655" s="1915"/>
      <c r="K655" s="1915"/>
      <c r="L655" s="1915"/>
      <c r="M655" s="1915"/>
      <c r="N655" s="1915"/>
      <c r="O655" s="1915"/>
      <c r="P655" s="1915"/>
      <c r="Q655" s="1915"/>
      <c r="R655" s="1915"/>
      <c r="S655" s="1915"/>
      <c r="T655" s="1915"/>
      <c r="U655" s="1915"/>
      <c r="V655" s="1915"/>
      <c r="W655" s="1915"/>
      <c r="X655" s="1915"/>
      <c r="Y655" s="1915"/>
      <c r="Z655" s="1915"/>
      <c r="AA655" s="1915"/>
      <c r="AB655" s="1915"/>
      <c r="AC655" s="1915"/>
      <c r="AD655" s="570"/>
      <c r="AE655" s="1995"/>
      <c r="AF655" s="1995"/>
      <c r="AG655" s="1995"/>
      <c r="AH655" s="1995"/>
      <c r="AI655" s="1995"/>
      <c r="AJ655" s="1995"/>
      <c r="AK655" s="1995"/>
      <c r="AL655" s="628"/>
      <c r="AN655" s="631"/>
      <c r="AO655" s="584" t="s">
        <v>599</v>
      </c>
      <c r="AP655" s="707">
        <v>0</v>
      </c>
    </row>
    <row r="656" spans="1:42" s="584" customFormat="1" ht="12.75" customHeight="1">
      <c r="A656" s="713"/>
      <c r="B656" s="570"/>
      <c r="C656" s="570"/>
      <c r="D656" s="697"/>
      <c r="E656" s="1915"/>
      <c r="F656" s="1915"/>
      <c r="G656" s="1915"/>
      <c r="H656" s="1915"/>
      <c r="I656" s="1915"/>
      <c r="J656" s="1915"/>
      <c r="K656" s="1915"/>
      <c r="L656" s="1915"/>
      <c r="M656" s="1915"/>
      <c r="N656" s="1915"/>
      <c r="O656" s="1915"/>
      <c r="P656" s="1915"/>
      <c r="Q656" s="1915"/>
      <c r="R656" s="1915"/>
      <c r="S656" s="1915"/>
      <c r="T656" s="1915"/>
      <c r="U656" s="1915"/>
      <c r="V656" s="1915"/>
      <c r="W656" s="1915"/>
      <c r="X656" s="1915"/>
      <c r="Y656" s="1915"/>
      <c r="Z656" s="1915"/>
      <c r="AA656" s="1915"/>
      <c r="AB656" s="1915"/>
      <c r="AC656" s="1915"/>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15" t="s">
        <v>1532</v>
      </c>
      <c r="F658" s="1915"/>
      <c r="G658" s="1915"/>
      <c r="H658" s="1915"/>
      <c r="I658" s="1915"/>
      <c r="J658" s="1915"/>
      <c r="K658" s="1915"/>
      <c r="L658" s="1915"/>
      <c r="M658" s="1915"/>
      <c r="N658" s="1915"/>
      <c r="O658" s="1915"/>
      <c r="P658" s="1915"/>
      <c r="Q658" s="1915"/>
      <c r="R658" s="1915"/>
      <c r="S658" s="1915"/>
      <c r="T658" s="1915"/>
      <c r="U658" s="1915"/>
      <c r="V658" s="1915"/>
      <c r="W658" s="1915"/>
      <c r="X658" s="1915"/>
      <c r="Y658" s="1915"/>
      <c r="Z658" s="1915"/>
      <c r="AA658" s="1915"/>
      <c r="AB658" s="1915"/>
      <c r="AC658" s="1915"/>
      <c r="AD658" s="570"/>
      <c r="AE658" s="570"/>
      <c r="AF658" s="1995" t="s">
        <v>1510</v>
      </c>
      <c r="AG658" s="1995"/>
      <c r="AH658" s="1995"/>
      <c r="AI658" s="1995"/>
      <c r="AJ658" s="1995"/>
      <c r="AK658" s="1995"/>
      <c r="AL658" s="1995"/>
      <c r="AN658" s="631"/>
    </row>
    <row r="659" spans="1:42" s="584" customFormat="1" ht="12.75" customHeight="1">
      <c r="A659" s="704"/>
      <c r="B659" s="570"/>
      <c r="C659" s="982"/>
      <c r="D659" s="697"/>
      <c r="E659" s="1915"/>
      <c r="F659" s="1915"/>
      <c r="G659" s="1915"/>
      <c r="H659" s="1915"/>
      <c r="I659" s="1915"/>
      <c r="J659" s="1915"/>
      <c r="K659" s="1915"/>
      <c r="L659" s="1915"/>
      <c r="M659" s="1915"/>
      <c r="N659" s="1915"/>
      <c r="O659" s="1915"/>
      <c r="P659" s="1915"/>
      <c r="Q659" s="1915"/>
      <c r="R659" s="1915"/>
      <c r="S659" s="1915"/>
      <c r="T659" s="1915"/>
      <c r="U659" s="1915"/>
      <c r="V659" s="1915"/>
      <c r="W659" s="1915"/>
      <c r="X659" s="1915"/>
      <c r="Y659" s="1915"/>
      <c r="Z659" s="1915"/>
      <c r="AA659" s="1915"/>
      <c r="AB659" s="1915"/>
      <c r="AC659" s="191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5"/>
      <c r="F660" s="1915"/>
      <c r="G660" s="1915"/>
      <c r="H660" s="1915"/>
      <c r="I660" s="1915"/>
      <c r="J660" s="1915"/>
      <c r="K660" s="1915"/>
      <c r="L660" s="1915"/>
      <c r="M660" s="1915"/>
      <c r="N660" s="1915"/>
      <c r="O660" s="1915"/>
      <c r="P660" s="1915"/>
      <c r="Q660" s="1915"/>
      <c r="R660" s="1915"/>
      <c r="S660" s="1915"/>
      <c r="T660" s="1915"/>
      <c r="U660" s="1915"/>
      <c r="V660" s="1915"/>
      <c r="W660" s="1915"/>
      <c r="X660" s="1915"/>
      <c r="Y660" s="1915"/>
      <c r="Z660" s="1915"/>
      <c r="AA660" s="1915"/>
      <c r="AB660" s="1915"/>
      <c r="AC660" s="191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15" t="s">
        <v>1533</v>
      </c>
      <c r="F662" s="1915"/>
      <c r="G662" s="1915"/>
      <c r="H662" s="1915"/>
      <c r="I662" s="1915"/>
      <c r="J662" s="1915"/>
      <c r="K662" s="1915"/>
      <c r="L662" s="1915"/>
      <c r="M662" s="1915"/>
      <c r="N662" s="1915"/>
      <c r="O662" s="1915"/>
      <c r="P662" s="1915"/>
      <c r="Q662" s="1915"/>
      <c r="R662" s="1915"/>
      <c r="S662" s="1915"/>
      <c r="T662" s="1915"/>
      <c r="U662" s="1915"/>
      <c r="V662" s="1915"/>
      <c r="W662" s="1915"/>
      <c r="X662" s="1915"/>
      <c r="Y662" s="1915"/>
      <c r="Z662" s="1915"/>
      <c r="AA662" s="1915"/>
      <c r="AB662" s="1915"/>
      <c r="AC662" s="1915"/>
      <c r="AD662" s="570"/>
      <c r="AE662" s="570"/>
      <c r="AF662" s="1995" t="s">
        <v>1463</v>
      </c>
      <c r="AG662" s="1995"/>
      <c r="AH662" s="1995"/>
      <c r="AI662" s="1995"/>
      <c r="AJ662" s="1995"/>
      <c r="AK662" s="1995"/>
      <c r="AL662" s="1995"/>
      <c r="AM662" s="630"/>
      <c r="AN662" s="631"/>
    </row>
    <row r="663" spans="1:42" s="584" customFormat="1" ht="12.75" customHeight="1">
      <c r="B663" s="570"/>
      <c r="C663" s="966"/>
      <c r="D663" s="697"/>
      <c r="E663" s="1915"/>
      <c r="F663" s="1915"/>
      <c r="G663" s="1915"/>
      <c r="H663" s="1915"/>
      <c r="I663" s="1915"/>
      <c r="J663" s="1915"/>
      <c r="K663" s="1915"/>
      <c r="L663" s="1915"/>
      <c r="M663" s="1915"/>
      <c r="N663" s="1915"/>
      <c r="O663" s="1915"/>
      <c r="P663" s="1915"/>
      <c r="Q663" s="1915"/>
      <c r="R663" s="1915"/>
      <c r="S663" s="1915"/>
      <c r="T663" s="1915"/>
      <c r="U663" s="1915"/>
      <c r="V663" s="1915"/>
      <c r="W663" s="1915"/>
      <c r="X663" s="1915"/>
      <c r="Y663" s="1915"/>
      <c r="Z663" s="1915"/>
      <c r="AA663" s="1915"/>
      <c r="AB663" s="1915"/>
      <c r="AC663" s="1915"/>
      <c r="AD663" s="570"/>
      <c r="AE663" s="570"/>
      <c r="AF663" s="570"/>
      <c r="AG663" s="570"/>
      <c r="AH663" s="570"/>
      <c r="AI663" s="570"/>
      <c r="AJ663" s="570"/>
      <c r="AK663" s="570"/>
      <c r="AL663" s="570"/>
      <c r="AM663" s="630"/>
      <c r="AN663" s="631"/>
    </row>
    <row r="664" spans="1:42" s="584" customFormat="1" ht="12.75" customHeight="1">
      <c r="B664" s="570"/>
      <c r="C664" s="966"/>
      <c r="D664" s="697"/>
      <c r="E664" s="1915"/>
      <c r="F664" s="1915"/>
      <c r="G664" s="1915"/>
      <c r="H664" s="1915"/>
      <c r="I664" s="1915"/>
      <c r="J664" s="1915"/>
      <c r="K664" s="1915"/>
      <c r="L664" s="1915"/>
      <c r="M664" s="1915"/>
      <c r="N664" s="1915"/>
      <c r="O664" s="1915"/>
      <c r="P664" s="1915"/>
      <c r="Q664" s="1915"/>
      <c r="R664" s="1915"/>
      <c r="S664" s="1915"/>
      <c r="T664" s="1915"/>
      <c r="U664" s="1915"/>
      <c r="V664" s="1915"/>
      <c r="W664" s="1915"/>
      <c r="X664" s="1915"/>
      <c r="Y664" s="1915"/>
      <c r="Z664" s="1915"/>
      <c r="AA664" s="1915"/>
      <c r="AB664" s="1915"/>
      <c r="AC664" s="191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15" t="s">
        <v>1534</v>
      </c>
      <c r="F666" s="1915"/>
      <c r="G666" s="1915"/>
      <c r="H666" s="1915"/>
      <c r="I666" s="1915"/>
      <c r="J666" s="1915"/>
      <c r="K666" s="1915"/>
      <c r="L666" s="1915"/>
      <c r="M666" s="1915"/>
      <c r="N666" s="1915"/>
      <c r="O666" s="1915"/>
      <c r="P666" s="1915"/>
      <c r="Q666" s="1915"/>
      <c r="R666" s="1915"/>
      <c r="S666" s="1915"/>
      <c r="T666" s="1915"/>
      <c r="U666" s="1915"/>
      <c r="V666" s="1915"/>
      <c r="W666" s="1915"/>
      <c r="X666" s="1915"/>
      <c r="Y666" s="1915"/>
      <c r="Z666" s="1915"/>
      <c r="AA666" s="1915"/>
      <c r="AB666" s="1915"/>
      <c r="AC666" s="1915"/>
      <c r="AD666" s="570"/>
      <c r="AE666" s="570"/>
      <c r="AF666" s="1995" t="s">
        <v>1519</v>
      </c>
      <c r="AG666" s="1995"/>
      <c r="AH666" s="1995"/>
      <c r="AI666" s="1995"/>
      <c r="AJ666" s="1995"/>
      <c r="AK666" s="1995"/>
      <c r="AL666" s="1995"/>
      <c r="AM666" s="630"/>
      <c r="AN666" s="631"/>
    </row>
    <row r="667" spans="1:42" s="584" customFormat="1" ht="12.75" customHeight="1">
      <c r="A667" s="713"/>
      <c r="B667" s="570"/>
      <c r="C667" s="966"/>
      <c r="D667" s="697"/>
      <c r="E667" s="1915"/>
      <c r="F667" s="1915"/>
      <c r="G667" s="1915"/>
      <c r="H667" s="1915"/>
      <c r="I667" s="1915"/>
      <c r="J667" s="1915"/>
      <c r="K667" s="1915"/>
      <c r="L667" s="1915"/>
      <c r="M667" s="1915"/>
      <c r="N667" s="1915"/>
      <c r="O667" s="1915"/>
      <c r="P667" s="1915"/>
      <c r="Q667" s="1915"/>
      <c r="R667" s="1915"/>
      <c r="S667" s="1915"/>
      <c r="T667" s="1915"/>
      <c r="U667" s="1915"/>
      <c r="V667" s="1915"/>
      <c r="W667" s="1915"/>
      <c r="X667" s="1915"/>
      <c r="Y667" s="1915"/>
      <c r="Z667" s="1915"/>
      <c r="AA667" s="1915"/>
      <c r="AB667" s="1915"/>
      <c r="AC667" s="191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5"/>
      <c r="F668" s="1915"/>
      <c r="G668" s="1915"/>
      <c r="H668" s="1915"/>
      <c r="I668" s="1915"/>
      <c r="J668" s="1915"/>
      <c r="K668" s="1915"/>
      <c r="L668" s="1915"/>
      <c r="M668" s="1915"/>
      <c r="N668" s="1915"/>
      <c r="O668" s="1915"/>
      <c r="P668" s="1915"/>
      <c r="Q668" s="1915"/>
      <c r="R668" s="1915"/>
      <c r="S668" s="1915"/>
      <c r="T668" s="1915"/>
      <c r="U668" s="1915"/>
      <c r="V668" s="1915"/>
      <c r="W668" s="1915"/>
      <c r="X668" s="1915"/>
      <c r="Y668" s="1915"/>
      <c r="Z668" s="1915"/>
      <c r="AA668" s="1915"/>
      <c r="AB668" s="1915"/>
      <c r="AC668" s="191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15" t="s">
        <v>1535</v>
      </c>
      <c r="F670" s="1915"/>
      <c r="G670" s="1915"/>
      <c r="H670" s="1915"/>
      <c r="I670" s="1915"/>
      <c r="J670" s="1915"/>
      <c r="K670" s="1915"/>
      <c r="L670" s="1915"/>
      <c r="M670" s="1915"/>
      <c r="N670" s="1915"/>
      <c r="O670" s="1915"/>
      <c r="P670" s="1915"/>
      <c r="Q670" s="1915"/>
      <c r="R670" s="1915"/>
      <c r="S670" s="1915"/>
      <c r="T670" s="1915"/>
      <c r="U670" s="1915"/>
      <c r="V670" s="1915"/>
      <c r="W670" s="1915"/>
      <c r="X670" s="1915"/>
      <c r="Y670" s="1915"/>
      <c r="Z670" s="1915"/>
      <c r="AA670" s="1915"/>
      <c r="AB670" s="1915"/>
      <c r="AC670" s="1915"/>
      <c r="AD670" s="570"/>
      <c r="AE670" s="570"/>
      <c r="AF670" s="1995" t="s">
        <v>1536</v>
      </c>
      <c r="AG670" s="1995"/>
      <c r="AH670" s="1995"/>
      <c r="AI670" s="1995"/>
      <c r="AJ670" s="1995"/>
      <c r="AK670" s="1995"/>
      <c r="AL670" s="1995"/>
      <c r="AM670" s="630"/>
      <c r="AN670" s="631"/>
      <c r="AO670" s="645" t="s">
        <v>696</v>
      </c>
      <c r="AP670" s="584">
        <v>3</v>
      </c>
    </row>
    <row r="671" spans="1:42" s="584" customFormat="1" ht="12.75" customHeight="1">
      <c r="A671" s="713"/>
      <c r="B671" s="570"/>
      <c r="C671" s="966"/>
      <c r="D671" s="697"/>
      <c r="E671" s="1915"/>
      <c r="F671" s="1915"/>
      <c r="G671" s="1915"/>
      <c r="H671" s="1915"/>
      <c r="I671" s="1915"/>
      <c r="J671" s="1915"/>
      <c r="K671" s="1915"/>
      <c r="L671" s="1915"/>
      <c r="M671" s="1915"/>
      <c r="N671" s="1915"/>
      <c r="O671" s="1915"/>
      <c r="P671" s="1915"/>
      <c r="Q671" s="1915"/>
      <c r="R671" s="1915"/>
      <c r="S671" s="1915"/>
      <c r="T671" s="1915"/>
      <c r="U671" s="1915"/>
      <c r="V671" s="1915"/>
      <c r="W671" s="1915"/>
      <c r="X671" s="1915"/>
      <c r="Y671" s="1915"/>
      <c r="Z671" s="1915"/>
      <c r="AA671" s="1915"/>
      <c r="AB671" s="1915"/>
      <c r="AC671" s="1915"/>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5"/>
      <c r="F672" s="1915"/>
      <c r="G672" s="1915"/>
      <c r="H672" s="1915"/>
      <c r="I672" s="1915"/>
      <c r="J672" s="1915"/>
      <c r="K672" s="1915"/>
      <c r="L672" s="1915"/>
      <c r="M672" s="1915"/>
      <c r="N672" s="1915"/>
      <c r="O672" s="1915"/>
      <c r="P672" s="1915"/>
      <c r="Q672" s="1915"/>
      <c r="R672" s="1915"/>
      <c r="S672" s="1915"/>
      <c r="T672" s="1915"/>
      <c r="U672" s="1915"/>
      <c r="V672" s="1915"/>
      <c r="W672" s="1915"/>
      <c r="X672" s="1915"/>
      <c r="Y672" s="1915"/>
      <c r="Z672" s="1915"/>
      <c r="AA672" s="1915"/>
      <c r="AB672" s="1915"/>
      <c r="AC672" s="191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39" t="s">
        <v>1522</v>
      </c>
      <c r="I674" s="193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22">
        <f>VLOOKUP($H$674,$AO$622:$AP$629,2,FALSE)</f>
        <v>1</v>
      </c>
      <c r="AK676" s="192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164</v>
      </c>
    </row>
    <row r="680" spans="1:51" s="584" customFormat="1" ht="12.75" customHeight="1">
      <c r="A680" s="713"/>
      <c r="B680" s="570"/>
      <c r="C680" s="983"/>
      <c r="D680" s="697" t="s">
        <v>696</v>
      </c>
      <c r="E680" s="2030" t="s">
        <v>2551</v>
      </c>
      <c r="F680" s="2030"/>
      <c r="G680" s="2030"/>
      <c r="H680" s="2030"/>
      <c r="I680" s="2030"/>
      <c r="J680" s="2030"/>
      <c r="K680" s="2030"/>
      <c r="L680" s="2030"/>
      <c r="M680" s="2030"/>
      <c r="N680" s="2030"/>
      <c r="O680" s="2030"/>
      <c r="P680" s="2030"/>
      <c r="Q680" s="2030"/>
      <c r="R680" s="2030"/>
      <c r="S680" s="2030"/>
      <c r="T680" s="2030"/>
      <c r="U680" s="2030"/>
      <c r="V680" s="2030"/>
      <c r="W680" s="2030"/>
      <c r="X680" s="2030"/>
      <c r="Y680" s="2030"/>
      <c r="Z680" s="2030"/>
      <c r="AA680" s="2030"/>
      <c r="AB680" s="2030"/>
      <c r="AC680" s="570"/>
      <c r="AD680" s="570"/>
      <c r="AE680" s="570"/>
      <c r="AF680" s="1995" t="s">
        <v>1463</v>
      </c>
      <c r="AG680" s="1995"/>
      <c r="AH680" s="1995"/>
      <c r="AI680" s="1995"/>
      <c r="AJ680" s="1995"/>
      <c r="AK680" s="1995"/>
      <c r="AL680" s="1995"/>
      <c r="AN680" s="631"/>
      <c r="AW680" s="22" t="s">
        <v>2546</v>
      </c>
      <c r="AX680" s="584">
        <f>Application!CC632</f>
        <v>55</v>
      </c>
    </row>
    <row r="681" spans="1:51" s="584" customFormat="1" ht="12.75" customHeight="1">
      <c r="A681" s="713"/>
      <c r="B681" s="570"/>
      <c r="C681" s="983"/>
      <c r="D681" s="697"/>
      <c r="E681" s="2030"/>
      <c r="F681" s="2030"/>
      <c r="G681" s="2030"/>
      <c r="H681" s="2030"/>
      <c r="I681" s="2030"/>
      <c r="J681" s="2030"/>
      <c r="K681" s="2030"/>
      <c r="L681" s="2030"/>
      <c r="M681" s="2030"/>
      <c r="N681" s="2030"/>
      <c r="O681" s="2030"/>
      <c r="P681" s="2030"/>
      <c r="Q681" s="2030"/>
      <c r="R681" s="2030"/>
      <c r="S681" s="2030"/>
      <c r="T681" s="2030"/>
      <c r="U681" s="2030"/>
      <c r="V681" s="2030"/>
      <c r="W681" s="2030"/>
      <c r="X681" s="2030"/>
      <c r="Y681" s="2030"/>
      <c r="Z681" s="2030"/>
      <c r="AA681" s="2030"/>
      <c r="AB681" s="2030"/>
      <c r="AC681" s="570"/>
      <c r="AD681" s="570"/>
      <c r="AE681" s="570"/>
      <c r="AF681" s="570"/>
      <c r="AG681" s="570"/>
      <c r="AH681" s="570"/>
      <c r="AI681" s="570"/>
      <c r="AJ681" s="570"/>
      <c r="AK681" s="570"/>
      <c r="AL681" s="570"/>
      <c r="AN681" s="631"/>
      <c r="AW681" s="22" t="s">
        <v>2547</v>
      </c>
      <c r="AX681" s="584">
        <f>Application!CH632</f>
        <v>18</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517</v>
      </c>
      <c r="E683" s="1915" t="s">
        <v>2450</v>
      </c>
      <c r="F683" s="1915"/>
      <c r="G683" s="1915"/>
      <c r="H683" s="1915"/>
      <c r="I683" s="1915"/>
      <c r="J683" s="1915"/>
      <c r="K683" s="1915"/>
      <c r="L683" s="1915"/>
      <c r="M683" s="1915"/>
      <c r="N683" s="1915"/>
      <c r="O683" s="1915"/>
      <c r="P683" s="1915"/>
      <c r="Q683" s="1915"/>
      <c r="R683" s="1915"/>
      <c r="S683" s="1915"/>
      <c r="T683" s="1915"/>
      <c r="U683" s="1915"/>
      <c r="V683" s="1915"/>
      <c r="W683" s="1915"/>
      <c r="X683" s="1915"/>
      <c r="Y683" s="1915"/>
      <c r="Z683" s="1915"/>
      <c r="AA683" s="1915"/>
      <c r="AB683" s="1915"/>
      <c r="AC683" s="570"/>
      <c r="AD683" s="570"/>
      <c r="AE683" s="570"/>
      <c r="AF683" s="1995" t="s">
        <v>1463</v>
      </c>
      <c r="AG683" s="1995"/>
      <c r="AH683" s="1995"/>
      <c r="AI683" s="1995"/>
      <c r="AJ683" s="1995"/>
      <c r="AK683" s="1995"/>
      <c r="AL683" s="1995"/>
      <c r="AN683" s="631"/>
      <c r="AW683" s="22" t="s">
        <v>2549</v>
      </c>
      <c r="AX683" s="584">
        <f>AX680+AX681+AX682</f>
        <v>73</v>
      </c>
    </row>
    <row r="684" spans="1:51" s="584" customFormat="1" ht="12.75" customHeight="1">
      <c r="B684" s="570"/>
      <c r="C684" s="975"/>
      <c r="D684" s="697"/>
      <c r="E684" s="1915"/>
      <c r="F684" s="1915"/>
      <c r="G684" s="1915"/>
      <c r="H684" s="1915"/>
      <c r="I684" s="1915"/>
      <c r="J684" s="1915"/>
      <c r="K684" s="1915"/>
      <c r="L684" s="1915"/>
      <c r="M684" s="1915"/>
      <c r="N684" s="1915"/>
      <c r="O684" s="1915"/>
      <c r="P684" s="1915"/>
      <c r="Q684" s="1915"/>
      <c r="R684" s="1915"/>
      <c r="S684" s="1915"/>
      <c r="T684" s="1915"/>
      <c r="U684" s="1915"/>
      <c r="V684" s="1915"/>
      <c r="W684" s="1915"/>
      <c r="X684" s="1915"/>
      <c r="Y684" s="1915"/>
      <c r="Z684" s="1915"/>
      <c r="AA684" s="1915"/>
      <c r="AB684" s="1915"/>
      <c r="AC684" s="570"/>
      <c r="AD684" s="570"/>
      <c r="AE684" s="650"/>
      <c r="AF684" s="570"/>
      <c r="AG684" s="570"/>
      <c r="AH684" s="570"/>
      <c r="AI684" s="570"/>
      <c r="AJ684" s="570"/>
      <c r="AK684" s="570"/>
      <c r="AL684" s="570"/>
      <c r="AN684" s="631"/>
      <c r="AO684" s="1930" t="b">
        <f>IF(Application!D211="Special Needs",IF(AY684&gt;=0.25,TRUE,FALSE),IF(AX684&gt;=0.25,TRUE,FALSE))</f>
        <v>1</v>
      </c>
      <c r="AP684" s="1930"/>
      <c r="AW684" s="22" t="s">
        <v>2550</v>
      </c>
      <c r="AX684" s="584">
        <f>IFERROR(AX683/AX679,0)</f>
        <v>0.4451219512195122</v>
      </c>
      <c r="AY684" s="584">
        <f>IFERROR(AX683/(AX679-AX678),0)</f>
        <v>0.4451219512195122</v>
      </c>
    </row>
    <row r="685" spans="1:51" s="584" customFormat="1" ht="12.75" customHeight="1">
      <c r="B685" s="570"/>
      <c r="C685" s="975"/>
      <c r="E685" s="1915"/>
      <c r="F685" s="1915"/>
      <c r="G685" s="1915"/>
      <c r="H685" s="1915"/>
      <c r="I685" s="1915"/>
      <c r="J685" s="1915"/>
      <c r="K685" s="1915"/>
      <c r="L685" s="1915"/>
      <c r="M685" s="1915"/>
      <c r="N685" s="1915"/>
      <c r="O685" s="1915"/>
      <c r="P685" s="1915"/>
      <c r="Q685" s="1915"/>
      <c r="R685" s="1915"/>
      <c r="S685" s="1915"/>
      <c r="T685" s="1915"/>
      <c r="U685" s="1915"/>
      <c r="V685" s="1915"/>
      <c r="W685" s="1915"/>
      <c r="X685" s="1915"/>
      <c r="Y685" s="1915"/>
      <c r="Z685" s="1915"/>
      <c r="AA685" s="1915"/>
      <c r="AB685" s="191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5"/>
      <c r="F686" s="1915"/>
      <c r="G686" s="1915"/>
      <c r="H686" s="1915"/>
      <c r="I686" s="1915"/>
      <c r="J686" s="1915"/>
      <c r="K686" s="1915"/>
      <c r="L686" s="1915"/>
      <c r="M686" s="1915"/>
      <c r="N686" s="1915"/>
      <c r="O686" s="1915"/>
      <c r="P686" s="1915"/>
      <c r="Q686" s="1915"/>
      <c r="R686" s="1915"/>
      <c r="S686" s="1915"/>
      <c r="T686" s="1915"/>
      <c r="U686" s="1915"/>
      <c r="V686" s="1915"/>
      <c r="W686" s="1915"/>
      <c r="X686" s="1915"/>
      <c r="Y686" s="1915"/>
      <c r="Z686" s="1915"/>
      <c r="AA686" s="1915"/>
      <c r="AB686" s="1915"/>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15" t="s">
        <v>2451</v>
      </c>
      <c r="F688" s="1915"/>
      <c r="G688" s="1915"/>
      <c r="H688" s="1915"/>
      <c r="I688" s="1915"/>
      <c r="J688" s="1915"/>
      <c r="K688" s="1915"/>
      <c r="L688" s="1915"/>
      <c r="M688" s="1915"/>
      <c r="N688" s="1915"/>
      <c r="O688" s="1915"/>
      <c r="P688" s="1915"/>
      <c r="Q688" s="1915"/>
      <c r="R688" s="1915"/>
      <c r="S688" s="1915"/>
      <c r="T688" s="1915"/>
      <c r="U688" s="1915"/>
      <c r="V688" s="1915"/>
      <c r="W688" s="1915"/>
      <c r="X688" s="1915"/>
      <c r="Y688" s="1915"/>
      <c r="Z688" s="1915"/>
      <c r="AA688" s="1915"/>
      <c r="AB688" s="1915"/>
      <c r="AC688" s="570"/>
      <c r="AD688" s="570"/>
      <c r="AE688" s="570"/>
      <c r="AF688" s="1995" t="s">
        <v>1519</v>
      </c>
      <c r="AG688" s="1995"/>
      <c r="AH688" s="1995"/>
      <c r="AI688" s="1995"/>
      <c r="AJ688" s="1995"/>
      <c r="AK688" s="1995"/>
      <c r="AL688" s="1995"/>
      <c r="AN688" s="631"/>
      <c r="AO688" s="645" t="s">
        <v>517</v>
      </c>
      <c r="AP688" s="584">
        <v>1</v>
      </c>
    </row>
    <row r="689" spans="1:42" s="584" customFormat="1" ht="12" customHeight="1">
      <c r="B689" s="570"/>
      <c r="C689" s="966"/>
      <c r="E689" s="1915"/>
      <c r="F689" s="1915"/>
      <c r="G689" s="1915"/>
      <c r="H689" s="1915"/>
      <c r="I689" s="1915"/>
      <c r="J689" s="1915"/>
      <c r="K689" s="1915"/>
      <c r="L689" s="1915"/>
      <c r="M689" s="1915"/>
      <c r="N689" s="1915"/>
      <c r="O689" s="1915"/>
      <c r="P689" s="1915"/>
      <c r="Q689" s="1915"/>
      <c r="R689" s="1915"/>
      <c r="S689" s="1915"/>
      <c r="T689" s="1915"/>
      <c r="U689" s="1915"/>
      <c r="V689" s="1915"/>
      <c r="W689" s="1915"/>
      <c r="X689" s="1915"/>
      <c r="Y689" s="1915"/>
      <c r="Z689" s="1915"/>
      <c r="AA689" s="1915"/>
      <c r="AB689" s="1915"/>
      <c r="AC689" s="570"/>
      <c r="AD689" s="570"/>
      <c r="AE689" s="650"/>
      <c r="AF689" s="570"/>
      <c r="AG689" s="570"/>
      <c r="AH689" s="570"/>
      <c r="AI689" s="570"/>
      <c r="AJ689" s="570"/>
      <c r="AK689" s="570"/>
      <c r="AL689" s="570"/>
      <c r="AN689" s="631"/>
    </row>
    <row r="690" spans="1:42" s="584" customFormat="1" ht="12" customHeight="1">
      <c r="B690" s="570"/>
      <c r="C690" s="966"/>
      <c r="D690" s="570"/>
      <c r="E690" s="1915"/>
      <c r="F690" s="1915"/>
      <c r="G690" s="1915"/>
      <c r="H690" s="1915"/>
      <c r="I690" s="1915"/>
      <c r="J690" s="1915"/>
      <c r="K690" s="1915"/>
      <c r="L690" s="1915"/>
      <c r="M690" s="1915"/>
      <c r="N690" s="1915"/>
      <c r="O690" s="1915"/>
      <c r="P690" s="1915"/>
      <c r="Q690" s="1915"/>
      <c r="R690" s="1915"/>
      <c r="S690" s="1915"/>
      <c r="T690" s="1915"/>
      <c r="U690" s="1915"/>
      <c r="V690" s="1915"/>
      <c r="W690" s="1915"/>
      <c r="X690" s="1915"/>
      <c r="Y690" s="1915"/>
      <c r="Z690" s="1915"/>
      <c r="AA690" s="1915"/>
      <c r="AB690" s="1915"/>
      <c r="AC690" s="570"/>
      <c r="AD690" s="570"/>
      <c r="AE690" s="650"/>
      <c r="AF690" s="570"/>
      <c r="AG690" s="570"/>
      <c r="AH690" s="570"/>
      <c r="AI690" s="570"/>
      <c r="AJ690" s="570"/>
      <c r="AK690" s="570"/>
      <c r="AL690" s="570"/>
      <c r="AN690" s="631"/>
    </row>
    <row r="691" spans="1:42" s="584" customFormat="1" ht="12" customHeight="1">
      <c r="B691" s="570"/>
      <c r="C691" s="966"/>
      <c r="D691" s="570"/>
      <c r="E691" s="1915"/>
      <c r="F691" s="1915"/>
      <c r="G691" s="1915"/>
      <c r="H691" s="1915"/>
      <c r="I691" s="1915"/>
      <c r="J691" s="1915"/>
      <c r="K691" s="1915"/>
      <c r="L691" s="1915"/>
      <c r="M691" s="1915"/>
      <c r="N691" s="1915"/>
      <c r="O691" s="1915"/>
      <c r="P691" s="1915"/>
      <c r="Q691" s="1915"/>
      <c r="R691" s="1915"/>
      <c r="S691" s="1915"/>
      <c r="T691" s="1915"/>
      <c r="U691" s="1915"/>
      <c r="V691" s="1915"/>
      <c r="W691" s="1915"/>
      <c r="X691" s="1915"/>
      <c r="Y691" s="1915"/>
      <c r="Z691" s="1915"/>
      <c r="AA691" s="1915"/>
      <c r="AB691" s="1915"/>
      <c r="AC691" s="570"/>
      <c r="AD691" s="570"/>
      <c r="AE691" s="650"/>
      <c r="AF691" s="570"/>
      <c r="AG691" s="570"/>
      <c r="AH691" s="570"/>
      <c r="AI691" s="570"/>
      <c r="AJ691" s="570"/>
      <c r="AK691" s="570"/>
      <c r="AL691" s="570"/>
      <c r="AN691" s="631"/>
    </row>
    <row r="692" spans="1:42" s="604" customFormat="1" ht="12.9" customHeight="1">
      <c r="A692" s="584"/>
      <c r="B692" s="570"/>
      <c r="C692" s="966"/>
      <c r="D692" s="570"/>
      <c r="E692" s="1915"/>
      <c r="F692" s="1915"/>
      <c r="G692" s="1915"/>
      <c r="H692" s="1915"/>
      <c r="I692" s="1915"/>
      <c r="J692" s="1915"/>
      <c r="K692" s="1915"/>
      <c r="L692" s="1915"/>
      <c r="M692" s="1915"/>
      <c r="N692" s="1915"/>
      <c r="O692" s="1915"/>
      <c r="P692" s="1915"/>
      <c r="Q692" s="1915"/>
      <c r="R692" s="1915"/>
      <c r="S692" s="1915"/>
      <c r="T692" s="1915"/>
      <c r="U692" s="1915"/>
      <c r="V692" s="1915"/>
      <c r="W692" s="1915"/>
      <c r="X692" s="1915"/>
      <c r="Y692" s="1915"/>
      <c r="Z692" s="1915"/>
      <c r="AA692" s="1915"/>
      <c r="AB692" s="1915"/>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5" t="s">
        <v>1880</v>
      </c>
      <c r="F694" s="1915"/>
      <c r="G694" s="1915"/>
      <c r="H694" s="1915"/>
      <c r="I694" s="1915"/>
      <c r="J694" s="1915"/>
      <c r="K694" s="1915"/>
      <c r="L694" s="1915"/>
      <c r="M694" s="1915"/>
      <c r="N694" s="1915"/>
      <c r="O694" s="1915"/>
      <c r="P694" s="1915"/>
      <c r="Q694" s="1915"/>
      <c r="R694" s="1915"/>
      <c r="S694" s="1915"/>
      <c r="T694" s="1915"/>
      <c r="U694" s="1915"/>
      <c r="V694" s="1915"/>
      <c r="W694" s="1915"/>
      <c r="X694" s="1915"/>
      <c r="Y694" s="1915"/>
      <c r="Z694" s="1915"/>
      <c r="AA694" s="1915"/>
      <c r="AB694" s="1915"/>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15"/>
      <c r="F695" s="1915"/>
      <c r="G695" s="1915"/>
      <c r="H695" s="1915"/>
      <c r="I695" s="1915"/>
      <c r="J695" s="1915"/>
      <c r="K695" s="1915"/>
      <c r="L695" s="1915"/>
      <c r="M695" s="1915"/>
      <c r="N695" s="1915"/>
      <c r="O695" s="1915"/>
      <c r="P695" s="1915"/>
      <c r="Q695" s="1915"/>
      <c r="R695" s="1915"/>
      <c r="S695" s="1915"/>
      <c r="T695" s="1915"/>
      <c r="U695" s="1915"/>
      <c r="V695" s="1915"/>
      <c r="W695" s="1915"/>
      <c r="X695" s="1915"/>
      <c r="Y695" s="1915"/>
      <c r="Z695" s="1915"/>
      <c r="AA695" s="1915"/>
      <c r="AB695" s="1915"/>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5"/>
      <c r="F696" s="1915"/>
      <c r="G696" s="1915"/>
      <c r="H696" s="1915"/>
      <c r="I696" s="1915"/>
      <c r="J696" s="1915"/>
      <c r="K696" s="1915"/>
      <c r="L696" s="1915"/>
      <c r="M696" s="1915"/>
      <c r="N696" s="1915"/>
      <c r="O696" s="1915"/>
      <c r="P696" s="1915"/>
      <c r="Q696" s="1915"/>
      <c r="R696" s="1915"/>
      <c r="S696" s="1915"/>
      <c r="T696" s="1915"/>
      <c r="U696" s="1915"/>
      <c r="V696" s="1915"/>
      <c r="W696" s="1915"/>
      <c r="X696" s="1915"/>
      <c r="Y696" s="1915"/>
      <c r="Z696" s="1915"/>
      <c r="AA696" s="1915"/>
      <c r="AB696" s="191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39" t="s">
        <v>599</v>
      </c>
      <c r="I698" s="193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22">
        <f>VLOOKUP($H$698,$AO$692:$AP$694,2,FALSE)</f>
        <v>0</v>
      </c>
      <c r="AK700" s="1924"/>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8" t="s">
        <v>1882</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95" t="s">
        <v>1463</v>
      </c>
      <c r="AG704" s="1995"/>
      <c r="AH704" s="1995"/>
      <c r="AI704" s="1995"/>
      <c r="AJ704" s="1995"/>
      <c r="AK704" s="1995"/>
      <c r="AL704" s="1995"/>
      <c r="AM704" s="584"/>
      <c r="AN704" s="718"/>
      <c r="AP704" s="604" t="s">
        <v>1543</v>
      </c>
    </row>
    <row r="705" spans="1:52" s="604" customFormat="1" ht="11.85"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1544</v>
      </c>
    </row>
    <row r="706" spans="1:52" s="604" customFormat="1" ht="13.95"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1545</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5" customHeight="1">
      <c r="A708" s="584"/>
      <c r="B708" s="570"/>
      <c r="C708" s="966"/>
      <c r="D708" s="697" t="s">
        <v>517</v>
      </c>
      <c r="E708" s="2029" t="s">
        <v>1546</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95" t="s">
        <v>1519</v>
      </c>
      <c r="AG708" s="1995"/>
      <c r="AH708" s="1995"/>
      <c r="AI708" s="1995"/>
      <c r="AJ708" s="1995"/>
      <c r="AK708" s="1995"/>
      <c r="AL708" s="1995"/>
      <c r="AM708" s="584"/>
      <c r="AN708" s="719"/>
    </row>
    <row r="709" spans="1:52" s="604" customFormat="1" ht="12.75"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599</v>
      </c>
      <c r="AQ709" s="707">
        <v>0</v>
      </c>
    </row>
    <row r="710" spans="1:52" s="604" customFormat="1" ht="13.95"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696</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5" customHeight="1">
      <c r="A712" s="584"/>
      <c r="B712" s="570"/>
      <c r="C712" s="968"/>
      <c r="D712" s="570" t="s">
        <v>1511</v>
      </c>
      <c r="E712" s="971"/>
      <c r="F712" s="971"/>
      <c r="G712" s="971"/>
      <c r="H712" s="1939" t="s">
        <v>599</v>
      </c>
      <c r="I712" s="193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22">
        <f>VLOOKUP($H$712,$AP$709:$AQ$711,2,FALSE)</f>
        <v>0</v>
      </c>
      <c r="AK714" s="1924"/>
      <c r="AL714" s="629"/>
      <c r="AM714" s="584"/>
      <c r="AN714" s="718"/>
      <c r="AP714" s="1922"/>
      <c r="AQ714" s="192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5" t="s">
        <v>1883</v>
      </c>
      <c r="F718" s="1915"/>
      <c r="G718" s="1915"/>
      <c r="H718" s="1915"/>
      <c r="I718" s="1915"/>
      <c r="J718" s="1915"/>
      <c r="K718" s="1915"/>
      <c r="L718" s="1915"/>
      <c r="M718" s="1915"/>
      <c r="N718" s="1915"/>
      <c r="O718" s="1915"/>
      <c r="P718" s="1915"/>
      <c r="Q718" s="1915"/>
      <c r="R718" s="1915"/>
      <c r="S718" s="1915"/>
      <c r="T718" s="1915"/>
      <c r="U718" s="1915"/>
      <c r="V718" s="1915"/>
      <c r="W718" s="1915"/>
      <c r="X718" s="1915"/>
      <c r="Y718" s="1915"/>
      <c r="Z718" s="1915"/>
      <c r="AA718" s="1915"/>
      <c r="AB718" s="1915"/>
      <c r="AC718" s="570"/>
      <c r="AD718" s="570"/>
      <c r="AE718" s="570"/>
      <c r="AF718" s="1995" t="s">
        <v>1463</v>
      </c>
      <c r="AG718" s="1995"/>
      <c r="AH718" s="1995"/>
      <c r="AI718" s="1995"/>
      <c r="AJ718" s="1995"/>
      <c r="AK718" s="1995"/>
      <c r="AL718" s="1995"/>
      <c r="AM718" s="584"/>
      <c r="AN718" s="718"/>
      <c r="AT718" s="14"/>
      <c r="AU718" s="14"/>
      <c r="AV718" s="14"/>
      <c r="AW718" s="14"/>
      <c r="AX718" s="14"/>
      <c r="AY718" s="14"/>
      <c r="AZ718" s="14"/>
    </row>
    <row r="719" spans="1:52" s="604" customFormat="1">
      <c r="A719" s="584"/>
      <c r="B719" s="570"/>
      <c r="C719" s="968"/>
      <c r="D719" s="697"/>
      <c r="E719" s="1915"/>
      <c r="F719" s="1915"/>
      <c r="G719" s="1915"/>
      <c r="H719" s="1915"/>
      <c r="I719" s="1915"/>
      <c r="J719" s="1915"/>
      <c r="K719" s="1915"/>
      <c r="L719" s="1915"/>
      <c r="M719" s="1915"/>
      <c r="N719" s="1915"/>
      <c r="O719" s="1915"/>
      <c r="P719" s="1915"/>
      <c r="Q719" s="1915"/>
      <c r="R719" s="1915"/>
      <c r="S719" s="1915"/>
      <c r="T719" s="1915"/>
      <c r="U719" s="1915"/>
      <c r="V719" s="1915"/>
      <c r="W719" s="1915"/>
      <c r="X719" s="1915"/>
      <c r="Y719" s="1915"/>
      <c r="Z719" s="1915"/>
      <c r="AA719" s="1915"/>
      <c r="AB719" s="191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5" t="s">
        <v>1550</v>
      </c>
      <c r="F721" s="1915"/>
      <c r="G721" s="1915"/>
      <c r="H721" s="1915"/>
      <c r="I721" s="1915"/>
      <c r="J721" s="1915"/>
      <c r="K721" s="1915"/>
      <c r="L721" s="1915"/>
      <c r="M721" s="1915"/>
      <c r="N721" s="1915"/>
      <c r="O721" s="1915"/>
      <c r="P721" s="1915"/>
      <c r="Q721" s="1915"/>
      <c r="R721" s="1915"/>
      <c r="S721" s="1915"/>
      <c r="T721" s="1915"/>
      <c r="U721" s="1915"/>
      <c r="V721" s="1915"/>
      <c r="W721" s="1915"/>
      <c r="X721" s="1915"/>
      <c r="Y721" s="1915"/>
      <c r="Z721" s="1915"/>
      <c r="AA721" s="1915"/>
      <c r="AB721" s="1915"/>
      <c r="AC721" s="570"/>
      <c r="AD721" s="570"/>
      <c r="AE721" s="570"/>
      <c r="AF721" s="1995" t="s">
        <v>1519</v>
      </c>
      <c r="AG721" s="1995"/>
      <c r="AH721" s="1995"/>
      <c r="AI721" s="1995"/>
      <c r="AJ721" s="1995"/>
      <c r="AK721" s="1995"/>
      <c r="AL721" s="1995"/>
      <c r="AM721" s="584"/>
      <c r="AN721" s="718"/>
      <c r="AT721" s="14"/>
      <c r="AU721" s="14"/>
      <c r="AV721" s="14"/>
      <c r="AW721" s="14"/>
      <c r="AX721" s="14"/>
      <c r="AY721" s="14"/>
      <c r="AZ721" s="14"/>
    </row>
    <row r="722" spans="1:81" s="604" customFormat="1">
      <c r="A722" s="584"/>
      <c r="B722" s="570"/>
      <c r="C722" s="968"/>
      <c r="D722" s="570"/>
      <c r="E722" s="1915"/>
      <c r="F722" s="1915"/>
      <c r="G722" s="1915"/>
      <c r="H722" s="1915"/>
      <c r="I722" s="1915"/>
      <c r="J722" s="1915"/>
      <c r="K722" s="1915"/>
      <c r="L722" s="1915"/>
      <c r="M722" s="1915"/>
      <c r="N722" s="1915"/>
      <c r="O722" s="1915"/>
      <c r="P722" s="1915"/>
      <c r="Q722" s="1915"/>
      <c r="R722" s="1915"/>
      <c r="S722" s="1915"/>
      <c r="T722" s="1915"/>
      <c r="U722" s="1915"/>
      <c r="V722" s="1915"/>
      <c r="W722" s="1915"/>
      <c r="X722" s="1915"/>
      <c r="Y722" s="1915"/>
      <c r="Z722" s="1915"/>
      <c r="AA722" s="1915"/>
      <c r="AB722" s="191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39" t="s">
        <v>599</v>
      </c>
      <c r="I724" s="193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22">
        <f>VLOOKUP($H$724,$AO$655:$AP$657,2,FALSE)</f>
        <v>0</v>
      </c>
      <c r="AK726" s="192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5" t="s">
        <v>1553</v>
      </c>
      <c r="F730" s="1915"/>
      <c r="G730" s="1915"/>
      <c r="H730" s="1915"/>
      <c r="I730" s="1915"/>
      <c r="J730" s="1915"/>
      <c r="K730" s="1915"/>
      <c r="L730" s="1915"/>
      <c r="M730" s="1915"/>
      <c r="N730" s="1915"/>
      <c r="O730" s="1915"/>
      <c r="P730" s="1915"/>
      <c r="Q730" s="1915"/>
      <c r="R730" s="1915"/>
      <c r="S730" s="1915"/>
      <c r="T730" s="1915"/>
      <c r="U730" s="1915"/>
      <c r="V730" s="1915"/>
      <c r="W730" s="1915"/>
      <c r="X730" s="1915"/>
      <c r="Y730" s="1915"/>
      <c r="Z730" s="1915"/>
      <c r="AA730" s="1915"/>
      <c r="AB730" s="1915"/>
      <c r="AC730" s="570"/>
      <c r="AD730" s="570"/>
      <c r="AE730" s="570"/>
      <c r="AF730" s="1995" t="s">
        <v>1463</v>
      </c>
      <c r="AG730" s="1995"/>
      <c r="AH730" s="1995"/>
      <c r="AI730" s="1995"/>
      <c r="AJ730" s="1995"/>
      <c r="AK730" s="1995"/>
      <c r="AL730" s="1995"/>
      <c r="AM730" s="584"/>
      <c r="AN730" s="718"/>
      <c r="AT730" s="14"/>
      <c r="AU730" s="14"/>
      <c r="AV730" s="14"/>
      <c r="AW730" s="14"/>
      <c r="AX730" s="14"/>
      <c r="AY730" s="14"/>
      <c r="AZ730" s="14"/>
    </row>
    <row r="731" spans="1:81" s="604" customFormat="1">
      <c r="A731" s="584"/>
      <c r="B731" s="570"/>
      <c r="C731" s="966"/>
      <c r="D731" s="697"/>
      <c r="E731" s="1915"/>
      <c r="F731" s="1915"/>
      <c r="G731" s="1915"/>
      <c r="H731" s="1915"/>
      <c r="I731" s="1915"/>
      <c r="J731" s="1915"/>
      <c r="K731" s="1915"/>
      <c r="L731" s="1915"/>
      <c r="M731" s="1915"/>
      <c r="N731" s="1915"/>
      <c r="O731" s="1915"/>
      <c r="P731" s="1915"/>
      <c r="Q731" s="1915"/>
      <c r="R731" s="1915"/>
      <c r="S731" s="1915"/>
      <c r="T731" s="1915"/>
      <c r="U731" s="1915"/>
      <c r="V731" s="1915"/>
      <c r="W731" s="1915"/>
      <c r="X731" s="1915"/>
      <c r="Y731" s="1915"/>
      <c r="Z731" s="1915"/>
      <c r="AA731" s="1915"/>
      <c r="AB731" s="191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5"/>
      <c r="F732" s="1915"/>
      <c r="G732" s="1915"/>
      <c r="H732" s="1915"/>
      <c r="I732" s="1915"/>
      <c r="J732" s="1915"/>
      <c r="K732" s="1915"/>
      <c r="L732" s="1915"/>
      <c r="M732" s="1915"/>
      <c r="N732" s="1915"/>
      <c r="O732" s="1915"/>
      <c r="P732" s="1915"/>
      <c r="Q732" s="1915"/>
      <c r="R732" s="1915"/>
      <c r="S732" s="1915"/>
      <c r="T732" s="1915"/>
      <c r="U732" s="1915"/>
      <c r="V732" s="1915"/>
      <c r="W732" s="1915"/>
      <c r="X732" s="1915"/>
      <c r="Y732" s="1915"/>
      <c r="Z732" s="1915"/>
      <c r="AA732" s="1915"/>
      <c r="AB732" s="191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5"/>
      <c r="F733" s="1915"/>
      <c r="G733" s="1915"/>
      <c r="H733" s="1915"/>
      <c r="I733" s="1915"/>
      <c r="J733" s="1915"/>
      <c r="K733" s="1915"/>
      <c r="L733" s="1915"/>
      <c r="M733" s="1915"/>
      <c r="N733" s="1915"/>
      <c r="O733" s="1915"/>
      <c r="P733" s="1915"/>
      <c r="Q733" s="1915"/>
      <c r="R733" s="1915"/>
      <c r="S733" s="1915"/>
      <c r="T733" s="1915"/>
      <c r="U733" s="1915"/>
      <c r="V733" s="1915"/>
      <c r="W733" s="1915"/>
      <c r="X733" s="1915"/>
      <c r="Y733" s="1915"/>
      <c r="Z733" s="1915"/>
      <c r="AA733" s="1915"/>
      <c r="AB733" s="191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5" t="s">
        <v>1554</v>
      </c>
      <c r="F735" s="1915"/>
      <c r="G735" s="1915"/>
      <c r="H735" s="1915"/>
      <c r="I735" s="1915"/>
      <c r="J735" s="1915"/>
      <c r="K735" s="1915"/>
      <c r="L735" s="1915"/>
      <c r="M735" s="1915"/>
      <c r="N735" s="1915"/>
      <c r="O735" s="1915"/>
      <c r="P735" s="1915"/>
      <c r="Q735" s="1915"/>
      <c r="R735" s="1915"/>
      <c r="S735" s="1915"/>
      <c r="T735" s="1915"/>
      <c r="U735" s="1915"/>
      <c r="V735" s="1915"/>
      <c r="W735" s="1915"/>
      <c r="X735" s="1915"/>
      <c r="Y735" s="1915"/>
      <c r="Z735" s="1915"/>
      <c r="AA735" s="1915"/>
      <c r="AB735" s="609"/>
      <c r="AC735" s="570"/>
      <c r="AD735" s="570"/>
      <c r="AE735" s="570"/>
      <c r="AF735" s="1995" t="s">
        <v>1519</v>
      </c>
      <c r="AG735" s="1995"/>
      <c r="AH735" s="1995"/>
      <c r="AI735" s="1995"/>
      <c r="AJ735" s="1995"/>
      <c r="AK735" s="1995"/>
      <c r="AL735" s="1995"/>
      <c r="AM735" s="584"/>
      <c r="AN735" s="718"/>
      <c r="AO735" s="30"/>
      <c r="AP735" s="14"/>
    </row>
    <row r="736" spans="1:81" s="604" customFormat="1">
      <c r="A736" s="584"/>
      <c r="B736" s="570"/>
      <c r="C736" s="966"/>
      <c r="D736" s="697"/>
      <c r="E736" s="1915"/>
      <c r="F736" s="1915"/>
      <c r="G736" s="1915"/>
      <c r="H736" s="1915"/>
      <c r="I736" s="1915"/>
      <c r="J736" s="1915"/>
      <c r="K736" s="1915"/>
      <c r="L736" s="1915"/>
      <c r="M736" s="1915"/>
      <c r="N736" s="1915"/>
      <c r="O736" s="1915"/>
      <c r="P736" s="1915"/>
      <c r="Q736" s="1915"/>
      <c r="R736" s="1915"/>
      <c r="S736" s="1915"/>
      <c r="T736" s="1915"/>
      <c r="U736" s="1915"/>
      <c r="V736" s="1915"/>
      <c r="W736" s="1915"/>
      <c r="X736" s="1915"/>
      <c r="Y736" s="1915"/>
      <c r="Z736" s="1915"/>
      <c r="AA736" s="191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5"/>
      <c r="F737" s="1915"/>
      <c r="G737" s="1915"/>
      <c r="H737" s="1915"/>
      <c r="I737" s="1915"/>
      <c r="J737" s="1915"/>
      <c r="K737" s="1915"/>
      <c r="L737" s="1915"/>
      <c r="M737" s="1915"/>
      <c r="N737" s="1915"/>
      <c r="O737" s="1915"/>
      <c r="P737" s="1915"/>
      <c r="Q737" s="1915"/>
      <c r="R737" s="1915"/>
      <c r="S737" s="1915"/>
      <c r="T737" s="1915"/>
      <c r="U737" s="1915"/>
      <c r="V737" s="1915"/>
      <c r="W737" s="1915"/>
      <c r="X737" s="1915"/>
      <c r="Y737" s="1915"/>
      <c r="Z737" s="1915"/>
      <c r="AA737" s="191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5"/>
      <c r="F738" s="1915"/>
      <c r="G738" s="1915"/>
      <c r="H738" s="1915"/>
      <c r="I738" s="1915"/>
      <c r="J738" s="1915"/>
      <c r="K738" s="1915"/>
      <c r="L738" s="1915"/>
      <c r="M738" s="1915"/>
      <c r="N738" s="1915"/>
      <c r="O738" s="1915"/>
      <c r="P738" s="1915"/>
      <c r="Q738" s="1915"/>
      <c r="R738" s="1915"/>
      <c r="S738" s="1915"/>
      <c r="T738" s="1915"/>
      <c r="U738" s="1915"/>
      <c r="V738" s="1915"/>
      <c r="W738" s="1915"/>
      <c r="X738" s="1915"/>
      <c r="Y738" s="1915"/>
      <c r="Z738" s="1915"/>
      <c r="AA738" s="191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39" t="s">
        <v>696</v>
      </c>
      <c r="I740" s="193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22">
        <f>VLOOKUP($H$740,$AO$669:$AP$671,2,FALSE)</f>
        <v>3</v>
      </c>
      <c r="AK742" s="192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5" t="s">
        <v>1556</v>
      </c>
      <c r="F746" s="1915"/>
      <c r="G746" s="1915"/>
      <c r="H746" s="1915"/>
      <c r="I746" s="1915"/>
      <c r="J746" s="1915"/>
      <c r="K746" s="1915"/>
      <c r="L746" s="1915"/>
      <c r="M746" s="1915"/>
      <c r="N746" s="1915"/>
      <c r="O746" s="1915"/>
      <c r="P746" s="1915"/>
      <c r="Q746" s="1915"/>
      <c r="R746" s="1915"/>
      <c r="S746" s="1915"/>
      <c r="T746" s="1915"/>
      <c r="U746" s="1915"/>
      <c r="V746" s="1915"/>
      <c r="W746" s="1915"/>
      <c r="X746" s="1915"/>
      <c r="Y746" s="1915"/>
      <c r="Z746" s="1915"/>
      <c r="AA746" s="1915"/>
      <c r="AB746" s="1915"/>
      <c r="AC746" s="570"/>
      <c r="AD746" s="570"/>
      <c r="AE746" s="570"/>
      <c r="AF746" s="1995" t="s">
        <v>1519</v>
      </c>
      <c r="AG746" s="1995"/>
      <c r="AH746" s="1995"/>
      <c r="AI746" s="1995"/>
      <c r="AJ746" s="1995"/>
      <c r="AK746" s="1995"/>
      <c r="AL746" s="1995"/>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5"/>
      <c r="F747" s="1915"/>
      <c r="G747" s="1915"/>
      <c r="H747" s="1915"/>
      <c r="I747" s="1915"/>
      <c r="J747" s="1915"/>
      <c r="K747" s="1915"/>
      <c r="L747" s="1915"/>
      <c r="M747" s="1915"/>
      <c r="N747" s="1915"/>
      <c r="O747" s="1915"/>
      <c r="P747" s="1915"/>
      <c r="Q747" s="1915"/>
      <c r="R747" s="1915"/>
      <c r="S747" s="1915"/>
      <c r="T747" s="1915"/>
      <c r="U747" s="1915"/>
      <c r="V747" s="1915"/>
      <c r="W747" s="1915"/>
      <c r="X747" s="1915"/>
      <c r="Y747" s="1915"/>
      <c r="Z747" s="1915"/>
      <c r="AA747" s="1915"/>
      <c r="AB747" s="191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5" t="s">
        <v>1557</v>
      </c>
      <c r="F749" s="1915"/>
      <c r="G749" s="1915"/>
      <c r="H749" s="1915"/>
      <c r="I749" s="1915"/>
      <c r="J749" s="1915"/>
      <c r="K749" s="1915"/>
      <c r="L749" s="1915"/>
      <c r="M749" s="1915"/>
      <c r="N749" s="1915"/>
      <c r="O749" s="1915"/>
      <c r="P749" s="1915"/>
      <c r="Q749" s="1915"/>
      <c r="R749" s="1915"/>
      <c r="S749" s="1915"/>
      <c r="T749" s="1915"/>
      <c r="U749" s="1915"/>
      <c r="V749" s="1915"/>
      <c r="W749" s="1915"/>
      <c r="X749" s="1915"/>
      <c r="Y749" s="1915"/>
      <c r="Z749" s="1915"/>
      <c r="AA749" s="1915"/>
      <c r="AB749" s="1915"/>
      <c r="AC749" s="570"/>
      <c r="AD749" s="570"/>
      <c r="AE749" s="570"/>
      <c r="AF749" s="1995" t="s">
        <v>1536</v>
      </c>
      <c r="AG749" s="1995"/>
      <c r="AH749" s="1995"/>
      <c r="AI749" s="1995"/>
      <c r="AJ749" s="1995"/>
      <c r="AK749" s="1995"/>
      <c r="AL749" s="1995"/>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5"/>
      <c r="F750" s="1915"/>
      <c r="G750" s="1915"/>
      <c r="H750" s="1915"/>
      <c r="I750" s="1915"/>
      <c r="J750" s="1915"/>
      <c r="K750" s="1915"/>
      <c r="L750" s="1915"/>
      <c r="M750" s="1915"/>
      <c r="N750" s="1915"/>
      <c r="O750" s="1915"/>
      <c r="P750" s="1915"/>
      <c r="Q750" s="1915"/>
      <c r="R750" s="1915"/>
      <c r="S750" s="1915"/>
      <c r="T750" s="1915"/>
      <c r="U750" s="1915"/>
      <c r="V750" s="1915"/>
      <c r="W750" s="1915"/>
      <c r="X750" s="1915"/>
      <c r="Y750" s="1915"/>
      <c r="Z750" s="1915"/>
      <c r="AA750" s="1915"/>
      <c r="AB750" s="191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39" t="s">
        <v>599</v>
      </c>
      <c r="I752" s="193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22">
        <f>VLOOKUP($H$752,$AO$686:$AP$688,2,FALSE)</f>
        <v>0</v>
      </c>
      <c r="AK754" s="192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65" customHeight="1">
      <c r="A758" s="584"/>
      <c r="B758" s="650"/>
      <c r="C758" s="975"/>
      <c r="D758" s="697" t="s">
        <v>696</v>
      </c>
      <c r="E758" s="1915" t="s">
        <v>1879</v>
      </c>
      <c r="F758" s="1915"/>
      <c r="G758" s="1915"/>
      <c r="H758" s="1915"/>
      <c r="I758" s="1915"/>
      <c r="J758" s="1915"/>
      <c r="K758" s="1915"/>
      <c r="L758" s="1915"/>
      <c r="M758" s="1915"/>
      <c r="N758" s="1915"/>
      <c r="O758" s="1915"/>
      <c r="P758" s="1915"/>
      <c r="Q758" s="1915"/>
      <c r="R758" s="1915"/>
      <c r="S758" s="1915"/>
      <c r="T758" s="1915"/>
      <c r="U758" s="1915"/>
      <c r="V758" s="1915"/>
      <c r="W758" s="1915"/>
      <c r="X758" s="1915"/>
      <c r="Y758" s="1915"/>
      <c r="Z758" s="1915"/>
      <c r="AA758" s="1915"/>
      <c r="AB758" s="1915"/>
      <c r="AC758" s="1915"/>
      <c r="AD758" s="1915"/>
      <c r="AE758" s="570"/>
      <c r="AF758" s="1995" t="s">
        <v>1519</v>
      </c>
      <c r="AG758" s="1995"/>
      <c r="AH758" s="1995"/>
      <c r="AI758" s="1995"/>
      <c r="AJ758" s="1995"/>
      <c r="AK758" s="1995"/>
      <c r="AL758" s="1995"/>
      <c r="AM758" s="647"/>
      <c r="AN758" s="718"/>
      <c r="AO758" s="584" t="s">
        <v>599</v>
      </c>
      <c r="AP758" s="707">
        <v>0</v>
      </c>
    </row>
    <row r="759" spans="1:74" s="604" customFormat="1" ht="13.65" customHeight="1">
      <c r="A759" s="584"/>
      <c r="B759" s="650"/>
      <c r="C759" s="975"/>
      <c r="D759" s="697"/>
      <c r="E759" s="1915"/>
      <c r="F759" s="1915"/>
      <c r="G759" s="1915"/>
      <c r="H759" s="1915"/>
      <c r="I759" s="1915"/>
      <c r="J759" s="1915"/>
      <c r="K759" s="1915"/>
      <c r="L759" s="1915"/>
      <c r="M759" s="1915"/>
      <c r="N759" s="1915"/>
      <c r="O759" s="1915"/>
      <c r="P759" s="1915"/>
      <c r="Q759" s="1915"/>
      <c r="R759" s="1915"/>
      <c r="S759" s="1915"/>
      <c r="T759" s="1915"/>
      <c r="U759" s="1915"/>
      <c r="V759" s="1915"/>
      <c r="W759" s="1915"/>
      <c r="X759" s="1915"/>
      <c r="Y759" s="1915"/>
      <c r="Z759" s="1915"/>
      <c r="AA759" s="1915"/>
      <c r="AB759" s="1915"/>
      <c r="AC759" s="1915"/>
      <c r="AD759" s="1915"/>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5"/>
      <c r="F760" s="1915"/>
      <c r="G760" s="1915"/>
      <c r="H760" s="1915"/>
      <c r="I760" s="1915"/>
      <c r="J760" s="1915"/>
      <c r="K760" s="1915"/>
      <c r="L760" s="1915"/>
      <c r="M760" s="1915"/>
      <c r="N760" s="1915"/>
      <c r="O760" s="1915"/>
      <c r="P760" s="1915"/>
      <c r="Q760" s="1915"/>
      <c r="R760" s="1915"/>
      <c r="S760" s="1915"/>
      <c r="T760" s="1915"/>
      <c r="U760" s="1915"/>
      <c r="V760" s="1915"/>
      <c r="W760" s="1915"/>
      <c r="X760" s="1915"/>
      <c r="Y760" s="1915"/>
      <c r="Z760" s="1915"/>
      <c r="AA760" s="1915"/>
      <c r="AB760" s="1915"/>
      <c r="AC760" s="1915"/>
      <c r="AD760" s="1915"/>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5"/>
      <c r="F761" s="1915"/>
      <c r="G761" s="1915"/>
      <c r="H761" s="1915"/>
      <c r="I761" s="1915"/>
      <c r="J761" s="1915"/>
      <c r="K761" s="1915"/>
      <c r="L761" s="1915"/>
      <c r="M761" s="1915"/>
      <c r="N761" s="1915"/>
      <c r="O761" s="1915"/>
      <c r="P761" s="1915"/>
      <c r="Q761" s="1915"/>
      <c r="R761" s="1915"/>
      <c r="S761" s="1915"/>
      <c r="T761" s="1915"/>
      <c r="U761" s="1915"/>
      <c r="V761" s="1915"/>
      <c r="W761" s="1915"/>
      <c r="X761" s="1915"/>
      <c r="Y761" s="1915"/>
      <c r="Z761" s="1915"/>
      <c r="AA761" s="1915"/>
      <c r="AB761" s="1915"/>
      <c r="AC761" s="1915"/>
      <c r="AD761" s="191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7" t="s">
        <v>1884</v>
      </c>
      <c r="F763" s="2027"/>
      <c r="G763" s="2027"/>
      <c r="H763" s="2027"/>
      <c r="I763" s="2027"/>
      <c r="J763" s="2027"/>
      <c r="K763" s="2027"/>
      <c r="L763" s="2027"/>
      <c r="M763" s="2027"/>
      <c r="N763" s="2027"/>
      <c r="O763" s="2027"/>
      <c r="P763" s="2027"/>
      <c r="Q763" s="2027"/>
      <c r="R763" s="2027"/>
      <c r="S763" s="2027"/>
      <c r="T763" s="2027"/>
      <c r="U763" s="2027"/>
      <c r="V763" s="2027"/>
      <c r="W763" s="2027"/>
      <c r="X763" s="2027"/>
      <c r="Y763" s="2027"/>
      <c r="Z763" s="2027"/>
      <c r="AA763" s="2027"/>
      <c r="AB763" s="2027"/>
      <c r="AC763" s="2027"/>
      <c r="AD763" s="2027"/>
      <c r="AE763" s="570"/>
      <c r="AF763" s="1995" t="s">
        <v>1463</v>
      </c>
      <c r="AG763" s="1995"/>
      <c r="AH763" s="1995"/>
      <c r="AI763" s="1995"/>
      <c r="AJ763" s="1995"/>
      <c r="AK763" s="1995"/>
      <c r="AL763" s="1995"/>
      <c r="AM763" s="647"/>
      <c r="AN763" s="631"/>
    </row>
    <row r="764" spans="1:74" s="584" customFormat="1" ht="12.75" customHeight="1">
      <c r="B764" s="650"/>
      <c r="C764" s="975"/>
      <c r="D764" s="697"/>
      <c r="E764" s="2027"/>
      <c r="F764" s="2027"/>
      <c r="G764" s="2027"/>
      <c r="H764" s="2027"/>
      <c r="I764" s="2027"/>
      <c r="J764" s="2027"/>
      <c r="K764" s="2027"/>
      <c r="L764" s="2027"/>
      <c r="M764" s="2027"/>
      <c r="N764" s="2027"/>
      <c r="O764" s="2027"/>
      <c r="P764" s="2027"/>
      <c r="Q764" s="2027"/>
      <c r="R764" s="2027"/>
      <c r="S764" s="2027"/>
      <c r="T764" s="2027"/>
      <c r="U764" s="2027"/>
      <c r="V764" s="2027"/>
      <c r="W764" s="2027"/>
      <c r="X764" s="2027"/>
      <c r="Y764" s="2027"/>
      <c r="Z764" s="2027"/>
      <c r="AA764" s="2027"/>
      <c r="AB764" s="2027"/>
      <c r="AC764" s="2027"/>
      <c r="AD764" s="2027"/>
      <c r="AE764" s="628"/>
      <c r="AF764" s="628"/>
      <c r="AG764" s="628"/>
      <c r="AH764" s="628"/>
      <c r="AI764" s="628"/>
      <c r="AJ764" s="628"/>
      <c r="AK764" s="628"/>
      <c r="AL764" s="628"/>
      <c r="AM764" s="647"/>
      <c r="AN764" s="631"/>
    </row>
    <row r="765" spans="1:74" s="584" customFormat="1" ht="12.75" customHeight="1">
      <c r="B765" s="650"/>
      <c r="C765" s="975"/>
      <c r="D765" s="697"/>
      <c r="E765" s="2027"/>
      <c r="F765" s="2027"/>
      <c r="G765" s="2027"/>
      <c r="H765" s="2027"/>
      <c r="I765" s="2027"/>
      <c r="J765" s="2027"/>
      <c r="K765" s="2027"/>
      <c r="L765" s="2027"/>
      <c r="M765" s="2027"/>
      <c r="N765" s="2027"/>
      <c r="O765" s="2027"/>
      <c r="P765" s="2027"/>
      <c r="Q765" s="2027"/>
      <c r="R765" s="2027"/>
      <c r="S765" s="2027"/>
      <c r="T765" s="2027"/>
      <c r="U765" s="2027"/>
      <c r="V765" s="2027"/>
      <c r="W765" s="2027"/>
      <c r="X765" s="2027"/>
      <c r="Y765" s="2027"/>
      <c r="Z765" s="2027"/>
      <c r="AA765" s="2027"/>
      <c r="AB765" s="2027"/>
      <c r="AC765" s="2027"/>
      <c r="AD765" s="2027"/>
      <c r="AE765" s="628"/>
      <c r="AF765" s="628"/>
      <c r="AG765" s="628"/>
      <c r="AH765" s="628"/>
      <c r="AI765" s="628"/>
      <c r="AJ765" s="628"/>
      <c r="AK765" s="628"/>
      <c r="AL765" s="628"/>
      <c r="AM765" s="647"/>
      <c r="AN765" s="631"/>
    </row>
    <row r="766" spans="1:74" s="584" customFormat="1" ht="12.75" customHeight="1">
      <c r="B766" s="650"/>
      <c r="C766" s="975"/>
      <c r="D766" s="697"/>
      <c r="E766" s="2027"/>
      <c r="F766" s="2027"/>
      <c r="G766" s="2027"/>
      <c r="H766" s="2027"/>
      <c r="I766" s="2027"/>
      <c r="J766" s="2027"/>
      <c r="K766" s="2027"/>
      <c r="L766" s="2027"/>
      <c r="M766" s="2027"/>
      <c r="N766" s="2027"/>
      <c r="O766" s="2027"/>
      <c r="P766" s="2027"/>
      <c r="Q766" s="2027"/>
      <c r="R766" s="2027"/>
      <c r="S766" s="2027"/>
      <c r="T766" s="2027"/>
      <c r="U766" s="2027"/>
      <c r="V766" s="2027"/>
      <c r="W766" s="2027"/>
      <c r="X766" s="2027"/>
      <c r="Y766" s="2027"/>
      <c r="Z766" s="2027"/>
      <c r="AA766" s="2027"/>
      <c r="AB766" s="2027"/>
      <c r="AC766" s="2027"/>
      <c r="AD766" s="202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39" t="s">
        <v>599</v>
      </c>
      <c r="I768" s="193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22">
        <f>VLOOKUP($H$768,$AO$758:$AP$760,2,FALSE)</f>
        <v>0</v>
      </c>
      <c r="AK770" s="192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65" customHeight="1">
      <c r="A774" s="584"/>
      <c r="B774" s="650"/>
      <c r="C774" s="975"/>
      <c r="D774" s="697" t="s">
        <v>696</v>
      </c>
      <c r="E774" s="1915" t="s">
        <v>2344</v>
      </c>
      <c r="F774" s="1915"/>
      <c r="G774" s="1915"/>
      <c r="H774" s="1915"/>
      <c r="I774" s="1915"/>
      <c r="J774" s="1915"/>
      <c r="K774" s="1915"/>
      <c r="L774" s="1915"/>
      <c r="M774" s="1915"/>
      <c r="N774" s="1915"/>
      <c r="O774" s="1915"/>
      <c r="P774" s="1915"/>
      <c r="Q774" s="1915"/>
      <c r="R774" s="1915"/>
      <c r="S774" s="1915"/>
      <c r="T774" s="1915"/>
      <c r="U774" s="1915"/>
      <c r="V774" s="1915"/>
      <c r="W774" s="1915"/>
      <c r="X774" s="1915"/>
      <c r="Y774" s="1915"/>
      <c r="Z774" s="1915"/>
      <c r="AA774" s="1915"/>
      <c r="AB774" s="1915"/>
      <c r="AC774" s="1915"/>
      <c r="AD774" s="1915"/>
      <c r="AE774" s="570"/>
      <c r="AF774" s="1995" t="s">
        <v>1463</v>
      </c>
      <c r="AG774" s="1995"/>
      <c r="AH774" s="1995"/>
      <c r="AI774" s="1995"/>
      <c r="AJ774" s="1995"/>
      <c r="AK774" s="1995"/>
      <c r="AL774" s="1995"/>
      <c r="AM774" s="647"/>
      <c r="AN774" s="718"/>
      <c r="AO774" s="645" t="s">
        <v>553</v>
      </c>
      <c r="AP774" s="584">
        <v>3</v>
      </c>
      <c r="AT774" s="708"/>
      <c r="AU774" s="708"/>
      <c r="AV774" s="708"/>
      <c r="AW774" s="708"/>
      <c r="AX774" s="708"/>
      <c r="AY774" s="708"/>
      <c r="AZ774" s="708"/>
    </row>
    <row r="775" spans="1:81" s="604" customFormat="1" ht="13.65" customHeight="1">
      <c r="A775" s="584"/>
      <c r="B775" s="650"/>
      <c r="C775" s="975"/>
      <c r="D775" s="697"/>
      <c r="E775" s="1915"/>
      <c r="F775" s="1915"/>
      <c r="G775" s="1915"/>
      <c r="H775" s="1915"/>
      <c r="I775" s="1915"/>
      <c r="J775" s="1915"/>
      <c r="K775" s="1915"/>
      <c r="L775" s="1915"/>
      <c r="M775" s="1915"/>
      <c r="N775" s="1915"/>
      <c r="O775" s="1915"/>
      <c r="P775" s="1915"/>
      <c r="Q775" s="1915"/>
      <c r="R775" s="1915"/>
      <c r="S775" s="1915"/>
      <c r="T775" s="1915"/>
      <c r="U775" s="1915"/>
      <c r="V775" s="1915"/>
      <c r="W775" s="1915"/>
      <c r="X775" s="1915"/>
      <c r="Y775" s="1915"/>
      <c r="Z775" s="1915"/>
      <c r="AA775" s="1915"/>
      <c r="AB775" s="1915"/>
      <c r="AC775" s="1915"/>
      <c r="AD775" s="191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5"/>
      <c r="F776" s="1915"/>
      <c r="G776" s="1915"/>
      <c r="H776" s="1915"/>
      <c r="I776" s="1915"/>
      <c r="J776" s="1915"/>
      <c r="K776" s="1915"/>
      <c r="L776" s="1915"/>
      <c r="M776" s="1915"/>
      <c r="N776" s="1915"/>
      <c r="O776" s="1915"/>
      <c r="P776" s="1915"/>
      <c r="Q776" s="1915"/>
      <c r="R776" s="1915"/>
      <c r="S776" s="1915"/>
      <c r="T776" s="1915"/>
      <c r="U776" s="1915"/>
      <c r="V776" s="1915"/>
      <c r="W776" s="1915"/>
      <c r="X776" s="1915"/>
      <c r="Y776" s="1915"/>
      <c r="Z776" s="1915"/>
      <c r="AA776" s="1915"/>
      <c r="AB776" s="1915"/>
      <c r="AC776" s="1915"/>
      <c r="AD776" s="191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5"/>
      <c r="F777" s="1915"/>
      <c r="G777" s="1915"/>
      <c r="H777" s="1915"/>
      <c r="I777" s="1915"/>
      <c r="J777" s="1915"/>
      <c r="K777" s="1915"/>
      <c r="L777" s="1915"/>
      <c r="M777" s="1915"/>
      <c r="N777" s="1915"/>
      <c r="O777" s="1915"/>
      <c r="P777" s="1915"/>
      <c r="Q777" s="1915"/>
      <c r="R777" s="1915"/>
      <c r="S777" s="1915"/>
      <c r="T777" s="1915"/>
      <c r="U777" s="1915"/>
      <c r="V777" s="1915"/>
      <c r="W777" s="1915"/>
      <c r="X777" s="1915"/>
      <c r="Y777" s="1915"/>
      <c r="Z777" s="1915"/>
      <c r="AA777" s="1915"/>
      <c r="AB777" s="1915"/>
      <c r="AC777" s="1915"/>
      <c r="AD777" s="191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39" t="s">
        <v>599</v>
      </c>
      <c r="I779" s="193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22">
        <f>VLOOKUP($H$779,$AO$773:$AP$774,2,FALSE)</f>
        <v>0</v>
      </c>
      <c r="AK781" s="192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22">
        <f>IF(($AJ$610+$AJ$629+$AJ$641+$AJ$676+$AJ$700+$AJ$714+$AJ$726+$AJ$742+$AJ$754+$AJ$770+AJ781)&gt;10,10,($AJ$610+$AJ$629+$AJ$641+$AJ$676+$AJ$700+$AJ$714+$AJ$726+$AJ$742+$AJ$754+$AJ$770+AJ781))</f>
        <v>10</v>
      </c>
      <c r="AL783" s="1923"/>
      <c r="AM783" s="192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6" t="s">
        <v>1680</v>
      </c>
      <c r="B786" s="1987"/>
      <c r="C786" s="1987"/>
      <c r="D786" s="1987"/>
      <c r="E786" s="1987"/>
      <c r="F786" s="1987"/>
      <c r="G786" s="1987"/>
      <c r="H786" s="1987"/>
      <c r="I786" s="1987"/>
      <c r="J786" s="1987"/>
      <c r="K786" s="1987"/>
      <c r="L786" s="1987"/>
      <c r="M786" s="1987"/>
      <c r="N786" s="1987"/>
      <c r="O786" s="1987"/>
      <c r="P786" s="1987"/>
      <c r="Q786" s="1987"/>
      <c r="R786" s="1987"/>
      <c r="S786" s="1987"/>
      <c r="T786" s="1987"/>
      <c r="U786" s="1987"/>
      <c r="V786" s="1987"/>
      <c r="W786" s="1987"/>
      <c r="X786" s="1987"/>
      <c r="Y786" s="1987"/>
      <c r="Z786" s="1987"/>
      <c r="AA786" s="1987"/>
      <c r="AB786" s="1987"/>
      <c r="AC786" s="1987"/>
      <c r="AD786" s="1987"/>
      <c r="AE786" s="1987"/>
      <c r="AF786" s="1987"/>
      <c r="AG786" s="1987"/>
      <c r="AH786" s="1987"/>
      <c r="AI786" s="1987"/>
      <c r="AJ786" s="1987"/>
      <c r="AK786" s="1987"/>
      <c r="AL786" s="1987"/>
      <c r="AM786" s="1987"/>
    </row>
    <row r="787" spans="1:43">
      <c r="A787" s="1988"/>
      <c r="B787" s="1988"/>
      <c r="C787" s="1988"/>
      <c r="D787" s="1988"/>
      <c r="E787" s="1988"/>
      <c r="F787" s="1988"/>
      <c r="G787" s="1988"/>
      <c r="H787" s="1988"/>
      <c r="I787" s="1988"/>
      <c r="J787" s="1988"/>
      <c r="K787" s="1988"/>
      <c r="L787" s="1988"/>
      <c r="M787" s="1988"/>
      <c r="N787" s="1988"/>
      <c r="O787" s="1988"/>
      <c r="P787" s="1988"/>
      <c r="Q787" s="1988"/>
      <c r="R787" s="1988"/>
      <c r="S787" s="1988"/>
      <c r="T787" s="1988"/>
      <c r="U787" s="1988"/>
      <c r="V787" s="1988"/>
      <c r="W787" s="1988"/>
      <c r="X787" s="1988"/>
      <c r="Y787" s="1988"/>
      <c r="Z787" s="1988"/>
      <c r="AA787" s="1988"/>
      <c r="AB787" s="1988"/>
      <c r="AC787" s="1988"/>
      <c r="AD787" s="1988"/>
      <c r="AE787" s="1988"/>
      <c r="AF787" s="1988"/>
      <c r="AG787" s="1988"/>
      <c r="AH787" s="1988"/>
      <c r="AI787" s="1988"/>
      <c r="AJ787" s="1988"/>
      <c r="AK787" s="1988"/>
      <c r="AL787" s="1988"/>
      <c r="AM787" s="198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5"/>
      <c r="B789" s="1925"/>
      <c r="C789" s="1925"/>
      <c r="D789" s="1925"/>
      <c r="E789" s="1925"/>
      <c r="F789" s="1925"/>
      <c r="G789" s="1925"/>
      <c r="H789" s="1925"/>
      <c r="I789" s="1925"/>
      <c r="J789" s="1925"/>
      <c r="K789" s="1925"/>
      <c r="L789" s="1925"/>
      <c r="M789" s="1925"/>
      <c r="N789" s="1925"/>
      <c r="O789" s="1925"/>
      <c r="P789" s="1925"/>
      <c r="Q789" s="1925"/>
      <c r="R789" s="1925"/>
      <c r="S789" s="1925"/>
      <c r="T789" s="1925"/>
      <c r="U789" s="1925"/>
      <c r="V789" s="1925"/>
      <c r="W789" s="1925"/>
      <c r="X789" s="1925"/>
      <c r="Y789" s="1925"/>
      <c r="Z789" s="1925"/>
      <c r="AA789" s="1925"/>
      <c r="AB789" s="1925"/>
      <c r="AC789" s="1925"/>
      <c r="AD789" s="1925"/>
      <c r="AE789" s="1925"/>
      <c r="AF789" s="1925"/>
      <c r="AG789" s="1925"/>
      <c r="AH789" s="1925"/>
      <c r="AI789" s="1925"/>
      <c r="AJ789" s="1925"/>
      <c r="AK789" s="1925"/>
      <c r="AL789" s="1925"/>
      <c r="AM789" s="1925"/>
      <c r="AP789" s="850"/>
      <c r="AQ789" s="850"/>
    </row>
    <row r="790" spans="1:43">
      <c r="A790" s="1925"/>
      <c r="B790" s="1925"/>
      <c r="C790" s="1925"/>
      <c r="D790" s="1925"/>
      <c r="E790" s="1925"/>
      <c r="F790" s="1925"/>
      <c r="G790" s="1925"/>
      <c r="H790" s="1925"/>
      <c r="I790" s="1925"/>
      <c r="J790" s="1925"/>
      <c r="K790" s="1925"/>
      <c r="L790" s="1925"/>
      <c r="M790" s="1925"/>
      <c r="N790" s="1925"/>
      <c r="O790" s="1925"/>
      <c r="P790" s="1925"/>
      <c r="Q790" s="1925"/>
      <c r="R790" s="1925"/>
      <c r="S790" s="1925"/>
      <c r="T790" s="1925"/>
      <c r="U790" s="1925"/>
      <c r="V790" s="1925"/>
      <c r="W790" s="1925"/>
      <c r="X790" s="1925"/>
      <c r="Y790" s="1925"/>
      <c r="Z790" s="1925"/>
      <c r="AA790" s="1925"/>
      <c r="AB790" s="1925"/>
      <c r="AC790" s="1925"/>
      <c r="AD790" s="1925"/>
      <c r="AE790" s="1925"/>
      <c r="AF790" s="1925"/>
      <c r="AG790" s="1925"/>
      <c r="AH790" s="1925"/>
      <c r="AI790" s="1925"/>
      <c r="AJ790" s="1925"/>
      <c r="AK790" s="1925"/>
      <c r="AL790" s="1925"/>
      <c r="AM790" s="192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9" t="s">
        <v>1681</v>
      </c>
      <c r="U791" s="1990"/>
      <c r="V791" s="1990"/>
      <c r="W791" s="1990"/>
      <c r="X791" s="1990"/>
      <c r="Y791" s="1991"/>
      <c r="Z791" s="1989" t="s">
        <v>1682</v>
      </c>
      <c r="AA791" s="1990"/>
      <c r="AB791" s="1990"/>
      <c r="AC791" s="1990"/>
      <c r="AD791" s="1990"/>
      <c r="AE791" s="1991"/>
      <c r="AF791" s="1989" t="s">
        <v>1683</v>
      </c>
      <c r="AG791" s="1990"/>
      <c r="AH791" s="1990"/>
      <c r="AI791" s="1990"/>
      <c r="AJ791" s="1990"/>
      <c r="AK791" s="199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2"/>
      <c r="U792" s="1993"/>
      <c r="V792" s="1993"/>
      <c r="W792" s="1993"/>
      <c r="X792" s="1993"/>
      <c r="Y792" s="1994"/>
      <c r="Z792" s="1992"/>
      <c r="AA792" s="1993"/>
      <c r="AB792" s="1993"/>
      <c r="AC792" s="1993"/>
      <c r="AD792" s="1993"/>
      <c r="AE792" s="1994"/>
      <c r="AF792" s="1992"/>
      <c r="AG792" s="1993"/>
      <c r="AH792" s="1993"/>
      <c r="AI792" s="1993"/>
      <c r="AJ792" s="1993"/>
      <c r="AK792" s="1994"/>
      <c r="AL792" s="852"/>
      <c r="AM792" s="630"/>
      <c r="AO792" s="850"/>
      <c r="AP792" s="850"/>
      <c r="AQ792" s="850"/>
    </row>
    <row r="793" spans="1:43">
      <c r="A793" s="853" t="s">
        <v>766</v>
      </c>
      <c r="B793" s="1946" t="s">
        <v>1415</v>
      </c>
      <c r="C793" s="1946"/>
      <c r="D793" s="1946"/>
      <c r="E793" s="1946"/>
      <c r="F793" s="1946"/>
      <c r="G793" s="1946"/>
      <c r="H793" s="1946"/>
      <c r="I793" s="1946"/>
      <c r="J793" s="1946"/>
      <c r="K793" s="1946"/>
      <c r="L793" s="1946"/>
      <c r="M793" s="1946"/>
      <c r="N793" s="1946"/>
      <c r="O793" s="1946"/>
      <c r="P793" s="1946"/>
      <c r="Q793" s="1946"/>
      <c r="R793" s="1946"/>
      <c r="S793" s="1947"/>
      <c r="T793" s="1974">
        <f>AK56</f>
        <v>0</v>
      </c>
      <c r="U793" s="1950"/>
      <c r="V793" s="1950"/>
      <c r="W793" s="1950"/>
      <c r="X793" s="1950"/>
      <c r="Y793" s="1951"/>
      <c r="Z793" s="1949">
        <v>20</v>
      </c>
      <c r="AA793" s="1950"/>
      <c r="AB793" s="1950"/>
      <c r="AC793" s="1950"/>
      <c r="AD793" s="1950"/>
      <c r="AE793" s="1951"/>
      <c r="AF793" s="1935">
        <f>IF(T793&gt;Z793,Z793,T793)</f>
        <v>0</v>
      </c>
      <c r="AG793" s="1935"/>
      <c r="AH793" s="1935"/>
      <c r="AI793" s="1935"/>
      <c r="AJ793" s="1935"/>
      <c r="AK793" s="1935"/>
      <c r="AL793" s="852"/>
      <c r="AM793" s="630"/>
      <c r="AO793" s="850"/>
      <c r="AP793" s="850"/>
      <c r="AQ793" s="850"/>
    </row>
    <row r="794" spans="1:43">
      <c r="A794" s="853" t="s">
        <v>1653</v>
      </c>
      <c r="B794" s="1946" t="s">
        <v>1424</v>
      </c>
      <c r="C794" s="1946"/>
      <c r="D794" s="1946"/>
      <c r="E794" s="1946"/>
      <c r="F794" s="1946"/>
      <c r="G794" s="1946"/>
      <c r="H794" s="1946"/>
      <c r="I794" s="1946"/>
      <c r="J794" s="1946"/>
      <c r="K794" s="1946"/>
      <c r="L794" s="1946"/>
      <c r="M794" s="1946"/>
      <c r="N794" s="1946"/>
      <c r="O794" s="1946"/>
      <c r="P794" s="1946"/>
      <c r="Q794" s="1946"/>
      <c r="R794" s="1946"/>
      <c r="S794" s="1947"/>
      <c r="T794" s="1974">
        <f>AK78</f>
        <v>10</v>
      </c>
      <c r="U794" s="1950"/>
      <c r="V794" s="1950"/>
      <c r="W794" s="1950"/>
      <c r="X794" s="1950"/>
      <c r="Y794" s="1951"/>
      <c r="Z794" s="1949">
        <v>10</v>
      </c>
      <c r="AA794" s="1950"/>
      <c r="AB794" s="1950"/>
      <c r="AC794" s="1950"/>
      <c r="AD794" s="1950"/>
      <c r="AE794" s="1951"/>
      <c r="AF794" s="1935">
        <f>IF(T794&gt;Z794,Z794,T794)</f>
        <v>10</v>
      </c>
      <c r="AG794" s="1935"/>
      <c r="AH794" s="1935"/>
      <c r="AI794" s="1935"/>
      <c r="AJ794" s="1935"/>
      <c r="AK794" s="1935"/>
      <c r="AL794" s="852"/>
      <c r="AM794" s="630"/>
      <c r="AO794" s="850"/>
      <c r="AP794" s="850"/>
      <c r="AQ794" s="850"/>
    </row>
    <row r="795" spans="1:43">
      <c r="A795" s="853" t="s">
        <v>1662</v>
      </c>
      <c r="B795" s="1946" t="s">
        <v>1434</v>
      </c>
      <c r="C795" s="1946"/>
      <c r="D795" s="1946"/>
      <c r="E795" s="1946"/>
      <c r="F795" s="1946"/>
      <c r="G795" s="1946"/>
      <c r="H795" s="1946"/>
      <c r="I795" s="1946"/>
      <c r="J795" s="1946"/>
      <c r="K795" s="1946"/>
      <c r="L795" s="1946"/>
      <c r="M795" s="1946"/>
      <c r="N795" s="1946"/>
      <c r="O795" s="1946"/>
      <c r="P795" s="1946"/>
      <c r="Q795" s="1946"/>
      <c r="R795" s="1946"/>
      <c r="S795" s="1947"/>
      <c r="T795" s="1974">
        <f ca="1">AK103</f>
        <v>20</v>
      </c>
      <c r="U795" s="1950"/>
      <c r="V795" s="1950"/>
      <c r="W795" s="1950"/>
      <c r="X795" s="1950"/>
      <c r="Y795" s="1951"/>
      <c r="Z795" s="1949">
        <v>20</v>
      </c>
      <c r="AA795" s="1950"/>
      <c r="AB795" s="1950"/>
      <c r="AC795" s="1950"/>
      <c r="AD795" s="1950"/>
      <c r="AE795" s="1951"/>
      <c r="AF795" s="1935">
        <f ca="1">IF(T795&gt;Z795,Z795,T795)</f>
        <v>20</v>
      </c>
      <c r="AG795" s="1935"/>
      <c r="AH795" s="1935"/>
      <c r="AI795" s="1935"/>
      <c r="AJ795" s="1935"/>
      <c r="AK795" s="1935"/>
      <c r="AL795" s="852"/>
      <c r="AM795" s="630"/>
      <c r="AO795" s="850"/>
      <c r="AP795" s="850"/>
      <c r="AQ795" s="850"/>
    </row>
    <row r="796" spans="1:43">
      <c r="A796" s="853" t="s">
        <v>1684</v>
      </c>
      <c r="B796" s="1946" t="s">
        <v>1444</v>
      </c>
      <c r="C796" s="1946"/>
      <c r="D796" s="1946"/>
      <c r="E796" s="1946"/>
      <c r="F796" s="1946"/>
      <c r="G796" s="1946"/>
      <c r="H796" s="1946"/>
      <c r="I796" s="1946"/>
      <c r="J796" s="1946"/>
      <c r="K796" s="1946"/>
      <c r="L796" s="1946"/>
      <c r="M796" s="1946"/>
      <c r="N796" s="1946"/>
      <c r="O796" s="1946"/>
      <c r="P796" s="1946"/>
      <c r="Q796" s="1946"/>
      <c r="R796" s="1946"/>
      <c r="S796" s="1947"/>
      <c r="T796" s="1974">
        <f>AK137</f>
        <v>10</v>
      </c>
      <c r="U796" s="1950"/>
      <c r="V796" s="1950"/>
      <c r="W796" s="1950"/>
      <c r="X796" s="1950"/>
      <c r="Y796" s="1951"/>
      <c r="Z796" s="1949">
        <v>10</v>
      </c>
      <c r="AA796" s="1950"/>
      <c r="AB796" s="1950"/>
      <c r="AC796" s="1950"/>
      <c r="AD796" s="1950"/>
      <c r="AE796" s="1951"/>
      <c r="AF796" s="1935">
        <f>IF(T796&gt;Z796,Z796,T796)</f>
        <v>10</v>
      </c>
      <c r="AG796" s="1935"/>
      <c r="AH796" s="1935"/>
      <c r="AI796" s="1935"/>
      <c r="AJ796" s="1935"/>
      <c r="AK796" s="1935"/>
      <c r="AL796" s="852"/>
      <c r="AM796" s="630"/>
      <c r="AO796" s="850"/>
      <c r="AP796" s="850"/>
      <c r="AQ796" s="850"/>
    </row>
    <row r="797" spans="1:43">
      <c r="A797" s="854" t="s">
        <v>1685</v>
      </c>
      <c r="B797" s="1946" t="s">
        <v>1686</v>
      </c>
      <c r="C797" s="1946"/>
      <c r="D797" s="1946"/>
      <c r="E797" s="1946"/>
      <c r="F797" s="1946"/>
      <c r="G797" s="1946"/>
      <c r="H797" s="1946"/>
      <c r="I797" s="1946"/>
      <c r="J797" s="1946"/>
      <c r="K797" s="1946"/>
      <c r="L797" s="1946"/>
      <c r="M797" s="1946"/>
      <c r="N797" s="1946"/>
      <c r="O797" s="1946"/>
      <c r="P797" s="1946"/>
      <c r="Q797" s="1946"/>
      <c r="R797" s="1946"/>
      <c r="S797" s="1947"/>
      <c r="T797" s="1948">
        <f>SUM(T798:Y799)</f>
        <v>10</v>
      </c>
      <c r="U797" s="1948"/>
      <c r="V797" s="1948"/>
      <c r="W797" s="1948"/>
      <c r="X797" s="1948"/>
      <c r="Y797" s="1948"/>
      <c r="Z797" s="1935">
        <v>10</v>
      </c>
      <c r="AA797" s="1935"/>
      <c r="AB797" s="1935"/>
      <c r="AC797" s="1935"/>
      <c r="AD797" s="1935"/>
      <c r="AE797" s="1935"/>
      <c r="AF797" s="1935">
        <f>IF(T797&gt;Z797,Z797,T797)</f>
        <v>10</v>
      </c>
      <c r="AG797" s="1935"/>
      <c r="AH797" s="1935"/>
      <c r="AI797" s="1935"/>
      <c r="AJ797" s="1935"/>
      <c r="AK797" s="1935"/>
      <c r="AL797" s="852"/>
      <c r="AM797" s="630"/>
    </row>
    <row r="798" spans="1:43">
      <c r="A798" s="569"/>
      <c r="B798" s="635"/>
      <c r="C798" s="1952" t="s">
        <v>1687</v>
      </c>
      <c r="D798" s="1952"/>
      <c r="E798" s="1952"/>
      <c r="F798" s="1952"/>
      <c r="G798" s="1952"/>
      <c r="H798" s="1952"/>
      <c r="I798" s="1952"/>
      <c r="J798" s="1952"/>
      <c r="K798" s="1952"/>
      <c r="L798" s="1952"/>
      <c r="M798" s="1952"/>
      <c r="N798" s="1952"/>
      <c r="O798" s="1952"/>
      <c r="P798" s="1952"/>
      <c r="Q798" s="1952"/>
      <c r="R798" s="1952"/>
      <c r="S798" s="1953"/>
      <c r="T798" s="1954">
        <f>AJ155</f>
        <v>7</v>
      </c>
      <c r="U798" s="1954"/>
      <c r="V798" s="1954"/>
      <c r="W798" s="1954"/>
      <c r="X798" s="1954"/>
      <c r="Y798" s="1954"/>
      <c r="Z798" s="1955">
        <v>7</v>
      </c>
      <c r="AA798" s="1955"/>
      <c r="AB798" s="1955"/>
      <c r="AC798" s="1955"/>
      <c r="AD798" s="1955"/>
      <c r="AE798" s="1955"/>
      <c r="AF798" s="1956"/>
      <c r="AG798" s="1956"/>
      <c r="AH798" s="1956"/>
      <c r="AI798" s="1956"/>
      <c r="AJ798" s="1956"/>
      <c r="AK798" s="1956"/>
      <c r="AL798" s="852"/>
      <c r="AM798" s="630"/>
    </row>
    <row r="799" spans="1:43">
      <c r="A799" s="634"/>
      <c r="B799" s="635"/>
      <c r="C799" s="1952" t="s">
        <v>1688</v>
      </c>
      <c r="D799" s="1952"/>
      <c r="E799" s="1952"/>
      <c r="F799" s="1952"/>
      <c r="G799" s="1952"/>
      <c r="H799" s="1952"/>
      <c r="I799" s="1952"/>
      <c r="J799" s="1952"/>
      <c r="K799" s="1952"/>
      <c r="L799" s="1952"/>
      <c r="M799" s="1952"/>
      <c r="N799" s="1952"/>
      <c r="O799" s="1952"/>
      <c r="P799" s="1952"/>
      <c r="Q799" s="1952"/>
      <c r="R799" s="1952"/>
      <c r="S799" s="1953"/>
      <c r="T799" s="1954">
        <f>AJ169</f>
        <v>3</v>
      </c>
      <c r="U799" s="1954"/>
      <c r="V799" s="1954"/>
      <c r="W799" s="1954"/>
      <c r="X799" s="1954"/>
      <c r="Y799" s="1954"/>
      <c r="Z799" s="1955">
        <v>3</v>
      </c>
      <c r="AA799" s="1955"/>
      <c r="AB799" s="1955"/>
      <c r="AC799" s="1955"/>
      <c r="AD799" s="1955"/>
      <c r="AE799" s="1955"/>
      <c r="AF799" s="1956"/>
      <c r="AG799" s="1956"/>
      <c r="AH799" s="1956"/>
      <c r="AI799" s="1956"/>
      <c r="AJ799" s="1956"/>
      <c r="AK799" s="1956"/>
      <c r="AL799" s="852"/>
      <c r="AM799" s="630"/>
      <c r="AO799" s="584"/>
    </row>
    <row r="800" spans="1:43">
      <c r="A800" s="854" t="s">
        <v>1472</v>
      </c>
      <c r="B800" s="1946" t="s">
        <v>1689</v>
      </c>
      <c r="C800" s="1946"/>
      <c r="D800" s="1946"/>
      <c r="E800" s="1946"/>
      <c r="F800" s="1946"/>
      <c r="G800" s="1946"/>
      <c r="H800" s="1946"/>
      <c r="I800" s="1946"/>
      <c r="J800" s="1946"/>
      <c r="K800" s="1946"/>
      <c r="L800" s="1946"/>
      <c r="M800" s="1946"/>
      <c r="N800" s="1946"/>
      <c r="O800" s="1946"/>
      <c r="P800" s="1946"/>
      <c r="Q800" s="1946"/>
      <c r="R800" s="1946"/>
      <c r="S800" s="1947"/>
      <c r="T800" s="1948">
        <f>AK180</f>
        <v>10</v>
      </c>
      <c r="U800" s="1948"/>
      <c r="V800" s="1948"/>
      <c r="W800" s="1948"/>
      <c r="X800" s="1948"/>
      <c r="Y800" s="1948"/>
      <c r="Z800" s="1935">
        <v>10</v>
      </c>
      <c r="AA800" s="1935"/>
      <c r="AB800" s="1935"/>
      <c r="AC800" s="1935"/>
      <c r="AD800" s="1935"/>
      <c r="AE800" s="1935"/>
      <c r="AF800" s="1935">
        <f>IF(T800&gt;Z800,Z800,T800)</f>
        <v>10</v>
      </c>
      <c r="AG800" s="1935"/>
      <c r="AH800" s="1935"/>
      <c r="AI800" s="1935"/>
      <c r="AJ800" s="1935"/>
      <c r="AK800" s="1935"/>
      <c r="AL800" s="852"/>
      <c r="AM800" s="630"/>
    </row>
    <row r="801" spans="1:81">
      <c r="A801" s="853" t="s">
        <v>1481</v>
      </c>
      <c r="B801" s="1946" t="s">
        <v>1482</v>
      </c>
      <c r="C801" s="1946"/>
      <c r="D801" s="1946"/>
      <c r="E801" s="1946"/>
      <c r="F801" s="1946"/>
      <c r="G801" s="1946"/>
      <c r="H801" s="1946"/>
      <c r="I801" s="1946"/>
      <c r="J801" s="1946"/>
      <c r="K801" s="1946"/>
      <c r="L801" s="1946"/>
      <c r="M801" s="1946"/>
      <c r="N801" s="1946"/>
      <c r="O801" s="1946"/>
      <c r="P801" s="1946"/>
      <c r="Q801" s="1946"/>
      <c r="R801" s="1946"/>
      <c r="S801" s="1947"/>
      <c r="T801" s="1948">
        <f>AK262</f>
        <v>8</v>
      </c>
      <c r="U801" s="1948"/>
      <c r="V801" s="1948"/>
      <c r="W801" s="1948"/>
      <c r="X801" s="1948"/>
      <c r="Y801" s="1948"/>
      <c r="Z801" s="1949">
        <v>8</v>
      </c>
      <c r="AA801" s="1950"/>
      <c r="AB801" s="1950"/>
      <c r="AC801" s="1950"/>
      <c r="AD801" s="1950"/>
      <c r="AE801" s="1951"/>
      <c r="AF801" s="1935">
        <f>IF(T801&gt;Z801,Z801,T801)</f>
        <v>8</v>
      </c>
      <c r="AG801" s="1935"/>
      <c r="AH801" s="1935"/>
      <c r="AI801" s="1935"/>
      <c r="AJ801" s="1935"/>
      <c r="AK801" s="1935"/>
      <c r="AL801" s="852"/>
      <c r="AM801" s="630"/>
    </row>
    <row r="802" spans="1:81" s="568" customFormat="1" hidden="1">
      <c r="A802" s="854" t="s">
        <v>597</v>
      </c>
      <c r="B802" s="1946" t="s">
        <v>1690</v>
      </c>
      <c r="C802" s="1946"/>
      <c r="D802" s="1946"/>
      <c r="E802" s="1946"/>
      <c r="F802" s="1946"/>
      <c r="G802" s="1946"/>
      <c r="H802" s="1946"/>
      <c r="I802" s="1946"/>
      <c r="J802" s="1946"/>
      <c r="K802" s="1946"/>
      <c r="L802" s="1946"/>
      <c r="M802" s="1946"/>
      <c r="N802" s="1946"/>
      <c r="O802" s="1946"/>
      <c r="P802" s="1946"/>
      <c r="Q802" s="1946"/>
      <c r="R802" s="1946"/>
      <c r="S802" s="1947"/>
      <c r="T802" s="1948">
        <f>IF(AK524&gt;5,5,AK524)</f>
        <v>0</v>
      </c>
      <c r="U802" s="1948"/>
      <c r="V802" s="1948"/>
      <c r="W802" s="1948"/>
      <c r="X802" s="1948"/>
      <c r="Y802" s="1948"/>
      <c r="Z802" s="1935">
        <v>5</v>
      </c>
      <c r="AA802" s="1935"/>
      <c r="AB802" s="1935"/>
      <c r="AC802" s="1935"/>
      <c r="AD802" s="1935"/>
      <c r="AE802" s="1935"/>
      <c r="AF802" s="1935">
        <f>IF(T802&gt;Z802,5,T802)</f>
        <v>0</v>
      </c>
      <c r="AG802" s="1935"/>
      <c r="AH802" s="1935"/>
      <c r="AI802" s="1935"/>
      <c r="AJ802" s="1935"/>
      <c r="AK802" s="1935"/>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46" t="s">
        <v>1691</v>
      </c>
      <c r="C803" s="1946"/>
      <c r="D803" s="1946"/>
      <c r="E803" s="1946"/>
      <c r="F803" s="1946"/>
      <c r="G803" s="1946"/>
      <c r="H803" s="1946"/>
      <c r="I803" s="1946"/>
      <c r="J803" s="1946"/>
      <c r="K803" s="1946"/>
      <c r="L803" s="1946"/>
      <c r="M803" s="1946"/>
      <c r="N803" s="1946"/>
      <c r="O803" s="1946"/>
      <c r="P803" s="1946"/>
      <c r="Q803" s="1946"/>
      <c r="R803" s="1946"/>
      <c r="S803" s="1947"/>
      <c r="T803" s="1948">
        <f>AK274</f>
        <v>10</v>
      </c>
      <c r="U803" s="1948"/>
      <c r="V803" s="1948"/>
      <c r="W803" s="1948"/>
      <c r="X803" s="1948"/>
      <c r="Y803" s="1948"/>
      <c r="Z803" s="1935">
        <v>10</v>
      </c>
      <c r="AA803" s="1935"/>
      <c r="AB803" s="1935"/>
      <c r="AC803" s="1935"/>
      <c r="AD803" s="1935"/>
      <c r="AE803" s="1935"/>
      <c r="AF803" s="1957">
        <f>IF(T803&gt;Z803,Z803,T803)</f>
        <v>10</v>
      </c>
      <c r="AG803" s="1958"/>
      <c r="AH803" s="1958"/>
      <c r="AI803" s="1958"/>
      <c r="AJ803" s="1958"/>
      <c r="AK803" s="195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46" t="s">
        <v>1492</v>
      </c>
      <c r="C804" s="1946"/>
      <c r="D804" s="1946"/>
      <c r="E804" s="1946"/>
      <c r="F804" s="1946"/>
      <c r="G804" s="1946"/>
      <c r="H804" s="1946"/>
      <c r="I804" s="1946"/>
      <c r="J804" s="1946"/>
      <c r="K804" s="1946"/>
      <c r="L804" s="1946"/>
      <c r="M804" s="1946"/>
      <c r="N804" s="1946"/>
      <c r="O804" s="1946"/>
      <c r="P804" s="1946"/>
      <c r="Q804" s="1946"/>
      <c r="R804" s="1946"/>
      <c r="S804" s="1947"/>
      <c r="T804" s="1948">
        <f>AK327</f>
        <v>9</v>
      </c>
      <c r="U804" s="1948"/>
      <c r="V804" s="1948"/>
      <c r="W804" s="1948"/>
      <c r="X804" s="1948"/>
      <c r="Y804" s="1948"/>
      <c r="Z804" s="1957">
        <v>10</v>
      </c>
      <c r="AA804" s="1958"/>
      <c r="AB804" s="1958"/>
      <c r="AC804" s="1958"/>
      <c r="AD804" s="1958"/>
      <c r="AE804" s="1959"/>
      <c r="AF804" s="1957">
        <f>IF(T804&gt;Z804,Z804,T804)</f>
        <v>9</v>
      </c>
      <c r="AG804" s="1958"/>
      <c r="AH804" s="1958"/>
      <c r="AI804" s="1958"/>
      <c r="AJ804" s="1958"/>
      <c r="AK804" s="195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54">
        <f>AK327</f>
        <v>9</v>
      </c>
      <c r="U805" s="1954"/>
      <c r="V805" s="1954"/>
      <c r="W805" s="1954"/>
      <c r="X805" s="1954"/>
      <c r="Y805" s="1954"/>
      <c r="Z805" s="1922">
        <v>20</v>
      </c>
      <c r="AA805" s="1923"/>
      <c r="AB805" s="1923"/>
      <c r="AC805" s="1923"/>
      <c r="AD805" s="1923"/>
      <c r="AE805" s="1924"/>
      <c r="AF805" s="1956"/>
      <c r="AG805" s="1956"/>
      <c r="AH805" s="1956"/>
      <c r="AI805" s="1956"/>
      <c r="AJ805" s="1956"/>
      <c r="AK805" s="195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46" t="s">
        <v>856</v>
      </c>
      <c r="C806" s="1946"/>
      <c r="D806" s="1946"/>
      <c r="E806" s="1946"/>
      <c r="F806" s="1946"/>
      <c r="G806" s="1946"/>
      <c r="H806" s="1946"/>
      <c r="I806" s="1946"/>
      <c r="J806" s="1946"/>
      <c r="K806" s="1946"/>
      <c r="L806" s="1946"/>
      <c r="M806" s="1946"/>
      <c r="N806" s="1946"/>
      <c r="O806" s="1946"/>
      <c r="P806" s="1946"/>
      <c r="Q806" s="1946"/>
      <c r="R806" s="1946"/>
      <c r="S806" s="1947"/>
      <c r="T806" s="1948">
        <f>AK458</f>
        <v>10</v>
      </c>
      <c r="U806" s="1948"/>
      <c r="V806" s="1948"/>
      <c r="W806" s="1948"/>
      <c r="X806" s="1948"/>
      <c r="Y806" s="1948"/>
      <c r="Z806" s="1957">
        <v>10</v>
      </c>
      <c r="AA806" s="1958"/>
      <c r="AB806" s="1958"/>
      <c r="AC806" s="1958"/>
      <c r="AD806" s="1958"/>
      <c r="AE806" s="1959"/>
      <c r="AF806" s="1935">
        <f>IF(T806&gt;Z806,Z806,T806)</f>
        <v>10</v>
      </c>
      <c r="AG806" s="1935"/>
      <c r="AH806" s="1935"/>
      <c r="AI806" s="1935"/>
      <c r="AJ806" s="1935"/>
      <c r="AK806" s="1935"/>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46" t="s">
        <v>1671</v>
      </c>
      <c r="C807" s="1946"/>
      <c r="D807" s="1946"/>
      <c r="E807" s="1946"/>
      <c r="F807" s="1946"/>
      <c r="G807" s="1946"/>
      <c r="H807" s="1946"/>
      <c r="I807" s="1946"/>
      <c r="J807" s="1946"/>
      <c r="K807" s="1946"/>
      <c r="L807" s="1946"/>
      <c r="M807" s="1946"/>
      <c r="N807" s="1946"/>
      <c r="O807" s="1946"/>
      <c r="P807" s="1946"/>
      <c r="Q807" s="1946"/>
      <c r="R807" s="1946"/>
      <c r="S807" s="1947"/>
      <c r="T807" s="1948">
        <f>AK548</f>
        <v>12</v>
      </c>
      <c r="U807" s="1948"/>
      <c r="V807" s="1948"/>
      <c r="W807" s="1948"/>
      <c r="X807" s="1948"/>
      <c r="Y807" s="1948"/>
      <c r="Z807" s="1957">
        <v>12</v>
      </c>
      <c r="AA807" s="1958"/>
      <c r="AB807" s="1958"/>
      <c r="AC807" s="1958"/>
      <c r="AD807" s="1958"/>
      <c r="AE807" s="1959"/>
      <c r="AF807" s="1935">
        <f>IF(T807&gt;Z807,Z807,T807)</f>
        <v>12</v>
      </c>
      <c r="AG807" s="1935"/>
      <c r="AH807" s="1935"/>
      <c r="AI807" s="1935"/>
      <c r="AJ807" s="1935"/>
      <c r="AK807" s="1935"/>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2332</v>
      </c>
      <c r="B808" s="1946" t="s">
        <v>1693</v>
      </c>
      <c r="C808" s="1946"/>
      <c r="D808" s="1946"/>
      <c r="E808" s="1946"/>
      <c r="F808" s="1946"/>
      <c r="G808" s="1946"/>
      <c r="H808" s="1946"/>
      <c r="I808" s="1946"/>
      <c r="J808" s="1946"/>
      <c r="K808" s="1946"/>
      <c r="L808" s="1946"/>
      <c r="M808" s="1946"/>
      <c r="N808" s="1946"/>
      <c r="O808" s="1946"/>
      <c r="P808" s="1946"/>
      <c r="Q808" s="1946"/>
      <c r="R808" s="1946"/>
      <c r="S808" s="1947"/>
      <c r="T808" s="1948">
        <f>AK783</f>
        <v>10</v>
      </c>
      <c r="U808" s="1948"/>
      <c r="V808" s="1948"/>
      <c r="W808" s="1948"/>
      <c r="X808" s="1948"/>
      <c r="Y808" s="1948"/>
      <c r="Z808" s="1957">
        <v>10</v>
      </c>
      <c r="AA808" s="1958"/>
      <c r="AB808" s="1958"/>
      <c r="AC808" s="1958"/>
      <c r="AD808" s="1958"/>
      <c r="AE808" s="1959"/>
      <c r="AF808" s="1935">
        <f>IF(T808&gt;Z808,Z808,T808)</f>
        <v>10</v>
      </c>
      <c r="AG808" s="1935"/>
      <c r="AH808" s="1935"/>
      <c r="AI808" s="1935"/>
      <c r="AJ808" s="1935"/>
      <c r="AK808" s="1935"/>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0" t="s">
        <v>1694</v>
      </c>
      <c r="B809" s="1946"/>
      <c r="C809" s="1946"/>
      <c r="D809" s="1946"/>
      <c r="E809" s="1946"/>
      <c r="F809" s="1946"/>
      <c r="G809" s="1946"/>
      <c r="H809" s="1946"/>
      <c r="I809" s="1946"/>
      <c r="J809" s="1946"/>
      <c r="K809" s="1946"/>
      <c r="L809" s="1946"/>
      <c r="M809" s="1946"/>
      <c r="N809" s="1946"/>
      <c r="O809" s="1946"/>
      <c r="P809" s="1946"/>
      <c r="Q809" s="1946"/>
      <c r="R809" s="1946"/>
      <c r="S809" s="1947"/>
      <c r="T809" s="1961"/>
      <c r="U809" s="1961"/>
      <c r="V809" s="1961"/>
      <c r="W809" s="1961"/>
      <c r="X809" s="1961"/>
      <c r="Y809" s="1961"/>
      <c r="Z809" s="1955" t="s">
        <v>1695</v>
      </c>
      <c r="AA809" s="1955"/>
      <c r="AB809" s="1955"/>
      <c r="AC809" s="1955"/>
      <c r="AD809" s="1955"/>
      <c r="AE809" s="1955"/>
      <c r="AF809" s="1957">
        <f>IF(T809&gt;0,T809,0)</f>
        <v>0</v>
      </c>
      <c r="AG809" s="1958"/>
      <c r="AH809" s="1958"/>
      <c r="AI809" s="1958"/>
      <c r="AJ809" s="1958"/>
      <c r="AK809" s="195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1962" t="s">
        <v>1696</v>
      </c>
      <c r="B810" s="1963"/>
      <c r="C810" s="1963"/>
      <c r="D810" s="1963"/>
      <c r="E810" s="1963"/>
      <c r="F810" s="1963"/>
      <c r="G810" s="1963"/>
      <c r="H810" s="1963"/>
      <c r="I810" s="1963"/>
      <c r="J810" s="1963"/>
      <c r="K810" s="1963"/>
      <c r="L810" s="1963"/>
      <c r="M810" s="1963"/>
      <c r="N810" s="1963"/>
      <c r="O810" s="1963"/>
      <c r="P810" s="1963"/>
      <c r="Q810" s="1963"/>
      <c r="R810" s="1963"/>
      <c r="S810" s="1963"/>
      <c r="T810" s="1963"/>
      <c r="U810" s="1963"/>
      <c r="V810" s="1963"/>
      <c r="W810" s="1963"/>
      <c r="X810" s="1963"/>
      <c r="Y810" s="1963"/>
      <c r="Z810" s="1963"/>
      <c r="AA810" s="1963"/>
      <c r="AB810" s="1963"/>
      <c r="AC810" s="1963"/>
      <c r="AD810" s="1963"/>
      <c r="AE810" s="1964"/>
      <c r="AF810" s="1968">
        <f ca="1">SUM(AF793:AK808)-AF809</f>
        <v>119</v>
      </c>
      <c r="AG810" s="1969"/>
      <c r="AH810" s="1969"/>
      <c r="AI810" s="1969"/>
      <c r="AJ810" s="1969"/>
      <c r="AK810" s="197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1965"/>
      <c r="B811" s="1966"/>
      <c r="C811" s="1966"/>
      <c r="D811" s="1966"/>
      <c r="E811" s="1966"/>
      <c r="F811" s="1966"/>
      <c r="G811" s="1966"/>
      <c r="H811" s="1966"/>
      <c r="I811" s="1966"/>
      <c r="J811" s="1966"/>
      <c r="K811" s="1966"/>
      <c r="L811" s="1966"/>
      <c r="M811" s="1966"/>
      <c r="N811" s="1966"/>
      <c r="O811" s="1966"/>
      <c r="P811" s="1966"/>
      <c r="Q811" s="1966"/>
      <c r="R811" s="1966"/>
      <c r="S811" s="1966"/>
      <c r="T811" s="1966"/>
      <c r="U811" s="1966"/>
      <c r="V811" s="1966"/>
      <c r="W811" s="1966"/>
      <c r="X811" s="1966"/>
      <c r="Y811" s="1966"/>
      <c r="Z811" s="1966"/>
      <c r="AA811" s="1966"/>
      <c r="AB811" s="1966"/>
      <c r="AC811" s="1966"/>
      <c r="AD811" s="1966"/>
      <c r="AE811" s="1967"/>
      <c r="AF811" s="1971"/>
      <c r="AG811" s="1972"/>
      <c r="AH811" s="1972"/>
      <c r="AI811" s="1972"/>
      <c r="AJ811" s="1972"/>
      <c r="AK811" s="197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D92" sqref="D92"/>
    </sheetView>
  </sheetViews>
  <sheetFormatPr defaultColWidth="9.109375" defaultRowHeight="13.8"/>
  <cols>
    <col min="1" max="1" width="2.44140625" style="1079" customWidth="1"/>
    <col min="2" max="9" width="14.6640625" style="1079" customWidth="1"/>
    <col min="10" max="10" width="2.33203125" style="1079" customWidth="1"/>
    <col min="11" max="11" width="11.88671875" style="1080" customWidth="1"/>
    <col min="12" max="12" width="10.6640625" style="1079" customWidth="1"/>
    <col min="13" max="13" width="10.44140625" style="1079" customWidth="1"/>
    <col min="14" max="14" width="10.88671875" style="1079" customWidth="1"/>
    <col min="15" max="16384" width="9.109375" style="1079"/>
  </cols>
  <sheetData>
    <row r="1" spans="1:13" ht="30" customHeight="1">
      <c r="A1" s="2148" t="s">
        <v>1697</v>
      </c>
      <c r="B1" s="2148"/>
      <c r="C1" s="2148"/>
      <c r="D1" s="2148"/>
      <c r="E1" s="2148"/>
      <c r="F1" s="2148"/>
      <c r="G1" s="2148"/>
      <c r="H1" s="2148"/>
      <c r="I1" s="2148"/>
      <c r="J1" s="2148"/>
    </row>
    <row r="2" spans="1:13" ht="15" customHeight="1" thickBot="1">
      <c r="A2" s="1081"/>
      <c r="B2" s="1081"/>
      <c r="I2" s="1082"/>
      <c r="K2" s="1083"/>
    </row>
    <row r="3" spans="1:13" s="1086" customFormat="1" ht="20.100000000000001" customHeight="1">
      <c r="A3" s="1140"/>
      <c r="B3" s="1141"/>
      <c r="C3" s="1142"/>
      <c r="D3" s="1147"/>
      <c r="E3" s="1142"/>
      <c r="F3" s="1143" t="s">
        <v>2297</v>
      </c>
      <c r="G3" s="1142"/>
      <c r="H3" s="1144">
        <f>E16</f>
        <v>48240724</v>
      </c>
      <c r="I3" s="1145"/>
    </row>
    <row r="4" spans="1:13" s="1086" customFormat="1" ht="20.100000000000001" customHeight="1">
      <c r="B4" s="1134"/>
      <c r="D4" s="1148"/>
      <c r="F4" s="1132" t="s">
        <v>2299</v>
      </c>
      <c r="G4" s="1131" t="s">
        <v>2298</v>
      </c>
      <c r="H4" s="1133">
        <f>I16</f>
        <v>38076940.359477125</v>
      </c>
      <c r="I4" s="1135"/>
      <c r="K4" s="1090"/>
    </row>
    <row r="5" spans="1:13" s="1086" customFormat="1" ht="20.100000000000001" customHeight="1" thickBot="1">
      <c r="B5" s="1136"/>
      <c r="C5" s="1137"/>
      <c r="D5" s="1149"/>
      <c r="E5" s="1138"/>
      <c r="F5" s="1149" t="s">
        <v>2239</v>
      </c>
      <c r="G5" s="1150"/>
      <c r="H5" s="1146">
        <f>H3/H4</f>
        <v>1.2669275300107765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9" t="s">
        <v>2237</v>
      </c>
      <c r="C8" s="2150"/>
      <c r="D8" s="2150"/>
      <c r="E8" s="2151"/>
      <c r="G8" s="2152" t="s">
        <v>2238</v>
      </c>
      <c r="H8" s="2153"/>
      <c r="I8" s="2154"/>
      <c r="K8" s="1092"/>
    </row>
    <row r="9" spans="1:13" ht="15" customHeight="1">
      <c r="A9" s="1081"/>
      <c r="B9" s="2143" t="s">
        <v>2276</v>
      </c>
      <c r="C9" s="2143"/>
      <c r="D9" s="2143"/>
      <c r="E9" s="1094">
        <f>G31</f>
        <v>10512500</v>
      </c>
      <c r="G9" s="2146" t="s">
        <v>2274</v>
      </c>
      <c r="H9" s="2146"/>
      <c r="I9" s="1095">
        <f>Application!AM554</f>
        <v>39050000</v>
      </c>
      <c r="K9" s="1096"/>
      <c r="M9" s="1097"/>
    </row>
    <row r="10" spans="1:13" ht="15" customHeight="1" thickBot="1">
      <c r="A10" s="1081"/>
      <c r="B10" s="2143" t="s">
        <v>2277</v>
      </c>
      <c r="C10" s="2143"/>
      <c r="D10" s="2143"/>
      <c r="E10" s="1095">
        <f>G40</f>
        <v>28117224.000000004</v>
      </c>
      <c r="G10" s="2146" t="s">
        <v>2240</v>
      </c>
      <c r="H10" s="2146"/>
      <c r="I10" s="1182">
        <f>'Basis &amp; Credits'!AB77</f>
        <v>0</v>
      </c>
      <c r="M10" s="1097"/>
    </row>
    <row r="11" spans="1:13" ht="15" customHeight="1">
      <c r="A11" s="1098"/>
      <c r="B11" s="2143" t="s">
        <v>2278</v>
      </c>
      <c r="C11" s="2143"/>
      <c r="D11" s="2143"/>
      <c r="E11" s="1095">
        <f>G49</f>
        <v>0</v>
      </c>
      <c r="G11" s="2146" t="s">
        <v>2289</v>
      </c>
      <c r="H11" s="2146"/>
      <c r="I11" s="1181">
        <f>I9+I10</f>
        <v>39050000</v>
      </c>
      <c r="M11" s="1097"/>
    </row>
    <row r="12" spans="1:13" ht="15" customHeight="1">
      <c r="A12" s="1084"/>
      <c r="B12" s="2143" t="s">
        <v>2279</v>
      </c>
      <c r="C12" s="2143"/>
      <c r="D12" s="2143"/>
      <c r="E12" s="1095">
        <f>G58</f>
        <v>360000</v>
      </c>
      <c r="G12" s="1183" t="s">
        <v>2314</v>
      </c>
      <c r="H12" s="1184"/>
      <c r="M12" s="1097"/>
    </row>
    <row r="13" spans="1:13" ht="15" customHeight="1">
      <c r="A13" s="1081"/>
      <c r="B13" s="2143" t="s">
        <v>2280</v>
      </c>
      <c r="C13" s="2143"/>
      <c r="D13" s="2143"/>
      <c r="E13" s="1100">
        <f>G83</f>
        <v>5046000</v>
      </c>
      <c r="G13" s="2147" t="s">
        <v>139</v>
      </c>
      <c r="H13" s="2147"/>
      <c r="I13" s="1099">
        <f>15%*(Application!AJ993&gt;0)</f>
        <v>0</v>
      </c>
      <c r="M13" s="1097"/>
    </row>
    <row r="14" spans="1:13" ht="15" customHeight="1">
      <c r="A14" s="1081"/>
      <c r="B14" s="2143" t="s">
        <v>2281</v>
      </c>
      <c r="C14" s="2143"/>
      <c r="D14" s="2143"/>
      <c r="E14" s="1095">
        <f>IF(G96&gt;G106,G96,0)</f>
        <v>0</v>
      </c>
      <c r="G14" s="1179" t="s">
        <v>2290</v>
      </c>
      <c r="H14" s="1179"/>
      <c r="I14" s="1099">
        <f>IF(Application!AJ1031&gt;0,10%,IF(Application!AJ1035&gt;0,5%,0))</f>
        <v>0</v>
      </c>
      <c r="M14" s="1097"/>
    </row>
    <row r="15" spans="1:13" ht="15" customHeight="1" thickBot="1">
      <c r="A15" s="1081"/>
      <c r="B15" s="2144" t="s">
        <v>2300</v>
      </c>
      <c r="C15" s="2144"/>
      <c r="D15" s="2144"/>
      <c r="E15" s="1151">
        <f>IF(E14&gt;0,0,G106)</f>
        <v>4205000</v>
      </c>
      <c r="G15" s="2141" t="s">
        <v>2291</v>
      </c>
      <c r="H15" s="2142"/>
      <c r="I15" s="1153">
        <f>G114</f>
        <v>2.4918300653594773E-2</v>
      </c>
      <c r="M15" s="1097"/>
    </row>
    <row r="16" spans="1:13" ht="15" customHeight="1">
      <c r="A16" s="1081"/>
      <c r="B16" s="2145" t="s">
        <v>2236</v>
      </c>
      <c r="C16" s="2145"/>
      <c r="D16" s="2145"/>
      <c r="E16" s="1152">
        <f>SUM(E9:E15)</f>
        <v>48240724</v>
      </c>
      <c r="G16" s="1180" t="s">
        <v>2275</v>
      </c>
      <c r="H16" s="1180"/>
      <c r="I16" s="1154">
        <f>I11-((I11*I13)+(I11*I14)+(I11*I15))</f>
        <v>38076940.359477125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164</v>
      </c>
      <c r="O18" s="1124" t="s">
        <v>590</v>
      </c>
      <c r="P18" s="1079">
        <f>MATCH(Application!T189,Application!BV490:BV547,0)</f>
        <v>56</v>
      </c>
      <c r="S18" s="1101">
        <f>SUM(Cdlac[Population])</f>
        <v>0</v>
      </c>
    </row>
    <row r="19" spans="1:20" ht="15" customHeight="1">
      <c r="A19" s="1081"/>
      <c r="B19" s="1081"/>
      <c r="I19" s="1107"/>
      <c r="L19" s="1079" t="s">
        <v>2232</v>
      </c>
      <c r="M19" s="1079" t="s">
        <v>2231</v>
      </c>
      <c r="N19" s="1079" t="s">
        <v>2245</v>
      </c>
      <c r="O19" s="1079" t="s">
        <v>2246</v>
      </c>
      <c r="P19" s="1079" t="s">
        <v>2233</v>
      </c>
      <c r="Q19" s="1079" t="s">
        <v>2234</v>
      </c>
      <c r="R19" s="1079" t="s">
        <v>2247</v>
      </c>
      <c r="S19" s="1079" t="s">
        <v>2253</v>
      </c>
      <c r="T19" s="1079" t="s">
        <v>386</v>
      </c>
    </row>
    <row r="20" spans="1:20" ht="15" customHeight="1">
      <c r="A20" s="1084"/>
      <c r="C20" s="2139" t="s">
        <v>2293</v>
      </c>
      <c r="D20" s="2139" t="s">
        <v>2294</v>
      </c>
      <c r="E20" s="2139" t="s">
        <v>2295</v>
      </c>
      <c r="F20" s="2139" t="s">
        <v>2296</v>
      </c>
      <c r="G20" s="2139" t="s">
        <v>2292</v>
      </c>
      <c r="H20" s="1108"/>
      <c r="I20" s="1107"/>
      <c r="L20" s="1079">
        <f>IFERROR(MIN(4,MATCH(Application!B718,UnitSizes,0)-1),"")</f>
        <v>1</v>
      </c>
      <c r="M20" s="1101">
        <f>Application!G718</f>
        <v>2</v>
      </c>
      <c r="N20" s="1109">
        <f>Application!AC718</f>
        <v>0.3</v>
      </c>
      <c r="O20" s="1109">
        <f>IF(Cdlac[[#This Row],[Quantity]]&gt;0,IF(Cdlac[[#This Row],[Federal]],30%,IF($G$36,40%,Cdlac[[#This Row],[iAMI]])),"")</f>
        <v>0.3</v>
      </c>
      <c r="P20" s="1101" cm="1">
        <f t="array" ref="P20">IF(Cdlac[[#This Row],[Quantity]]&gt;0,INDEX(TcacRents,$P$18,Cdlac[[#This Row],[Bedrooms]]+1)*Cdlac[[#This Row],[AMI]],"")</f>
        <v>747</v>
      </c>
      <c r="Q20" s="1101" cm="1">
        <f t="array" ref="Q20">IF(Cdlac[[#This Row],[Quantity]]&gt;0,INDEX(HudFmrs,$P$18,Cdlac[[#This Row],[Bedrooms]]+1),"")</f>
        <v>2001</v>
      </c>
      <c r="R20" s="1101">
        <f>IF(Cdlac[[#This Row],[Quantity]]&gt;0,MAX(0,Cdlac[[#This Row],[Fair Market Rent]]-Cdlac[[#This Row],[Restricted Rent]]),"")</f>
        <v>1254</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0"/>
      <c r="D21" s="2140"/>
      <c r="E21" s="2140"/>
      <c r="F21" s="2140"/>
      <c r="G21" s="2140"/>
      <c r="H21" s="1108"/>
      <c r="I21" s="1107"/>
      <c r="L21" s="1079">
        <f>IFERROR(MIN(4,MATCH(Application!B719,UnitSizes,0)-1),"")</f>
        <v>1</v>
      </c>
      <c r="M21" s="1101">
        <f>Application!G719</f>
        <v>4</v>
      </c>
      <c r="N21" s="1109">
        <f>Application!AC719</f>
        <v>0.3</v>
      </c>
      <c r="O21" s="1109">
        <f>IF(Cdlac[[#This Row],[Quantity]]&gt;0,IF(Cdlac[[#This Row],[Federal]],30%,IF($G$36,40%,Cdlac[[#This Row],[iAMI]])),"")</f>
        <v>0.3</v>
      </c>
      <c r="P21" s="1101" cm="1">
        <f t="array" ref="P21">IF(Cdlac[[#This Row],[Quantity]]&gt;0,INDEX(TcacRents,$P$18,Cdlac[[#This Row],[Bedrooms]]+1)*Cdlac[[#This Row],[AMI]],"")</f>
        <v>747</v>
      </c>
      <c r="Q21" s="1101" cm="1">
        <f t="array" ref="Q21">IF(Cdlac[[#This Row],[Quantity]]&gt;0,INDEX(HudFmrs,$P$18,Cdlac[[#This Row],[Bedrooms]]+1),"")</f>
        <v>2001</v>
      </c>
      <c r="R21" s="1101">
        <f>IF(Cdlac[[#This Row],[Quantity]]&gt;0,MAX(0,Cdlac[[#This Row],[Fair Market Rent]]-Cdlac[[#This Row],[Restricted Rent]]),"")</f>
        <v>1254</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6</v>
      </c>
      <c r="N22" s="1109">
        <f>Application!AC720</f>
        <v>0.4</v>
      </c>
      <c r="O22" s="1109">
        <f>IF(Cdlac[[#This Row],[Quantity]]&gt;0,IF(Cdlac[[#This Row],[Federal]],30%,IF($G$36,40%,Cdlac[[#This Row],[iAMI]])),"")</f>
        <v>0.4</v>
      </c>
      <c r="P22" s="1101" cm="1">
        <f t="array" ref="P22">IF(Cdlac[[#This Row],[Quantity]]&gt;0,INDEX(TcacRents,$P$18,Cdlac[[#This Row],[Bedrooms]]+1)*Cdlac[[#This Row],[AMI]],"")</f>
        <v>996</v>
      </c>
      <c r="Q22" s="1101" cm="1">
        <f t="array" ref="Q22">IF(Cdlac[[#This Row],[Quantity]]&gt;0,INDEX(HudFmrs,$P$18,Cdlac[[#This Row],[Bedrooms]]+1),"")</f>
        <v>2001</v>
      </c>
      <c r="R22" s="1101">
        <f>IF(Cdlac[[#This Row],[Quantity]]&gt;0,MAX(0,Cdlac[[#This Row],[Fair Market Rent]]-Cdlac[[#This Row],[Restricted Rent]]),"")</f>
        <v>1005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60</v>
      </c>
      <c r="F23" s="1110">
        <f>E23</f>
        <v>60</v>
      </c>
      <c r="G23" s="1110">
        <f>D23*F23</f>
        <v>60</v>
      </c>
      <c r="L23" s="1079">
        <f>IFERROR(MIN(4,MATCH(Application!B721,UnitSizes,0)-1),"")</f>
        <v>1</v>
      </c>
      <c r="M23" s="1101">
        <f>Application!G721</f>
        <v>6</v>
      </c>
      <c r="N23" s="1109">
        <f>Application!AC721</f>
        <v>0.5</v>
      </c>
      <c r="O23" s="1109">
        <f>IF(Cdlac[[#This Row],[Quantity]]&gt;0,IF(Cdlac[[#This Row],[Federal]],30%,IF($G$36,40%,Cdlac[[#This Row],[iAMI]])),"")</f>
        <v>0.5</v>
      </c>
      <c r="P23" s="1101" cm="1">
        <f t="array" ref="P23">IF(Cdlac[[#This Row],[Quantity]]&gt;0,INDEX(TcacRents,$P$18,Cdlac[[#This Row],[Bedrooms]]+1)*Cdlac[[#This Row],[AMI]],"")</f>
        <v>1245</v>
      </c>
      <c r="Q23" s="1101" cm="1">
        <f t="array" ref="Q23">IF(Cdlac[[#This Row],[Quantity]]&gt;0,INDEX(HudFmrs,$P$18,Cdlac[[#This Row],[Bedrooms]]+1),"")</f>
        <v>2001</v>
      </c>
      <c r="R23" s="1101">
        <f>IF(Cdlac[[#This Row],[Quantity]]&gt;0,MAX(0,Cdlac[[#This Row],[Fair Market Rent]]-Cdlac[[#This Row],[Restricted Rent]]),"")</f>
        <v>756</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31</v>
      </c>
      <c r="F24" s="1113">
        <f>SUM(E24:E26)-SUM(F25:F26)</f>
        <v>39</v>
      </c>
      <c r="G24" s="1110">
        <f>D24*F24</f>
        <v>48.75</v>
      </c>
      <c r="H24" s="1112"/>
      <c r="I24" s="1112"/>
      <c r="L24" s="1079">
        <f>IFERROR(MIN(4,MATCH(Application!B722,UnitSizes,0)-1),"")</f>
        <v>1</v>
      </c>
      <c r="M24" s="1101">
        <f>Application!G722</f>
        <v>6</v>
      </c>
      <c r="N24" s="1109">
        <f>Application!AC722</f>
        <v>0.6</v>
      </c>
      <c r="O24" s="1109">
        <f>IF(Cdlac[[#This Row],[Quantity]]&gt;0,IF(Cdlac[[#This Row],[Federal]],30%,IF($G$36,40%,Cdlac[[#This Row],[iAMI]])),"")</f>
        <v>0.6</v>
      </c>
      <c r="P24" s="1101" cm="1">
        <f t="array" ref="P24">IF(Cdlac[[#This Row],[Quantity]]&gt;0,INDEX(TcacRents,$P$18,Cdlac[[#This Row],[Bedrooms]]+1)*Cdlac[[#This Row],[AMI]],"")</f>
        <v>1494</v>
      </c>
      <c r="Q24" s="1101" cm="1">
        <f t="array" ref="Q24">IF(Cdlac[[#This Row],[Quantity]]&gt;0,INDEX(HudFmrs,$P$18,Cdlac[[#This Row],[Bedrooms]]+1),"")</f>
        <v>2001</v>
      </c>
      <c r="R24" s="1101">
        <f>IF(Cdlac[[#This Row],[Quantity]]&gt;0,MAX(0,Cdlac[[#This Row],[Fair Market Rent]]-Cdlac[[#This Row],[Restricted Rent]]),"")</f>
        <v>507</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55</v>
      </c>
      <c r="F25" s="1113">
        <f>MIN(E25,ROUNDDOWN(E27*30%,0))</f>
        <v>49</v>
      </c>
      <c r="G25" s="1110">
        <f>D25*F25</f>
        <v>73.5</v>
      </c>
      <c r="H25" s="1112"/>
      <c r="I25" s="1112"/>
      <c r="L25" s="1079">
        <f>IFERROR(MIN(4,MATCH(Application!B723,UnitSizes,0)-1),"")</f>
        <v>1</v>
      </c>
      <c r="M25" s="1101">
        <f>Application!G723</f>
        <v>36</v>
      </c>
      <c r="N25" s="1109">
        <f>Application!AC723</f>
        <v>0.7</v>
      </c>
      <c r="O25" s="1109">
        <f>IF(Cdlac[[#This Row],[Quantity]]&gt;0,IF(Cdlac[[#This Row],[Federal]],30%,IF($G$36,40%,Cdlac[[#This Row],[iAMI]])),"")</f>
        <v>0.7</v>
      </c>
      <c r="P25" s="1101" cm="1">
        <f t="array" ref="P25">IF(Cdlac[[#This Row],[Quantity]]&gt;0,INDEX(TcacRents,$P$18,Cdlac[[#This Row],[Bedrooms]]+1)*Cdlac[[#This Row],[AMI]],"")</f>
        <v>1743</v>
      </c>
      <c r="Q25" s="1101" cm="1">
        <f t="array" ref="Q25">IF(Cdlac[[#This Row],[Quantity]]&gt;0,INDEX(HudFmrs,$P$18,Cdlac[[#This Row],[Bedrooms]]+1),"")</f>
        <v>2001</v>
      </c>
      <c r="R25" s="1101">
        <f>IF(Cdlac[[#This Row],[Quantity]]&gt;0,MAX(0,Cdlac[[#This Row],[Fair Market Rent]]-Cdlac[[#This Row],[Restricted Rent]]),"")</f>
        <v>258</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18</v>
      </c>
      <c r="F26" s="1126">
        <f>MIN(E26,ROUNDDOWN(E27*10%,0))</f>
        <v>16</v>
      </c>
      <c r="G26" s="1128">
        <f>D26*F26</f>
        <v>28</v>
      </c>
      <c r="H26" s="1112"/>
      <c r="I26" s="1112"/>
      <c r="L26" s="1079">
        <f>IFERROR(MIN(4,MATCH(Application!B724,UnitSizes,0)-1),"")</f>
        <v>2</v>
      </c>
      <c r="M26" s="1101">
        <f>Application!G724</f>
        <v>2</v>
      </c>
      <c r="N26" s="1109">
        <f>Application!AC724</f>
        <v>0.3</v>
      </c>
      <c r="O26" s="1109">
        <f>IF(Cdlac[[#This Row],[Quantity]]&gt;0,IF(Cdlac[[#This Row],[Federal]],30%,IF($G$36,40%,Cdlac[[#This Row],[iAMI]])),"")</f>
        <v>0.3</v>
      </c>
      <c r="P26" s="1101" cm="1">
        <f t="array" ref="P26">IF(Cdlac[[#This Row],[Quantity]]&gt;0,INDEX(TcacRents,$P$18,Cdlac[[#This Row],[Bedrooms]]+1)*Cdlac[[#This Row],[AMI]],"")</f>
        <v>897</v>
      </c>
      <c r="Q26" s="1101" cm="1">
        <f t="array" ref="Q26">IF(Cdlac[[#This Row],[Quantity]]&gt;0,INDEX(HudFmrs,$P$18,Cdlac[[#This Row],[Bedrooms]]+1),"")</f>
        <v>2425</v>
      </c>
      <c r="R26" s="1101">
        <f>IF(Cdlac[[#This Row],[Quantity]]&gt;0,MAX(0,Cdlac[[#This Row],[Fair Market Rent]]-Cdlac[[#This Row],[Restricted Rent]]),"")</f>
        <v>1528</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5" t="s">
        <v>1698</v>
      </c>
      <c r="D27" s="2156"/>
      <c r="E27" s="1129">
        <f>SUM(E22:E26)</f>
        <v>164</v>
      </c>
      <c r="F27" s="1129">
        <f>SUM(F22:F26)</f>
        <v>164</v>
      </c>
      <c r="G27" s="1130">
        <f>SUMPRODUCT(D22:D26,F22:F26)</f>
        <v>210.25</v>
      </c>
      <c r="H27" s="1112"/>
      <c r="I27" s="1112"/>
      <c r="L27" s="1079">
        <f>IFERROR(MIN(4,MATCH(Application!B725,UnitSizes,0)-1),"")</f>
        <v>2</v>
      </c>
      <c r="M27" s="1101">
        <f>Application!G725</f>
        <v>2</v>
      </c>
      <c r="N27" s="1109">
        <f>Application!AC725</f>
        <v>0.3</v>
      </c>
      <c r="O27" s="1109">
        <f>IF(Cdlac[[#This Row],[Quantity]]&gt;0,IF(Cdlac[[#This Row],[Federal]],30%,IF($G$36,40%,Cdlac[[#This Row],[iAMI]])),"")</f>
        <v>0.3</v>
      </c>
      <c r="P27" s="1101" cm="1">
        <f t="array" ref="P27">IF(Cdlac[[#This Row],[Quantity]]&gt;0,INDEX(TcacRents,$P$18,Cdlac[[#This Row],[Bedrooms]]+1)*Cdlac[[#This Row],[AMI]],"")</f>
        <v>897</v>
      </c>
      <c r="Q27" s="1101" cm="1">
        <f t="array" ref="Q27">IF(Cdlac[[#This Row],[Quantity]]&gt;0,INDEX(HudFmrs,$P$18,Cdlac[[#This Row],[Bedrooms]]+1),"")</f>
        <v>2425</v>
      </c>
      <c r="R27" s="1101">
        <f>IF(Cdlac[[#This Row],[Quantity]]&gt;0,MAX(0,Cdlac[[#This Row],[Fair Market Rent]]-Cdlac[[#This Row],[Restricted Rent]]),"")</f>
        <v>1528</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4</v>
      </c>
      <c r="N28" s="1109">
        <f>Application!AC726</f>
        <v>0.4</v>
      </c>
      <c r="O28" s="1109">
        <f>IF(Cdlac[[#This Row],[Quantity]]&gt;0,IF(Cdlac[[#This Row],[Federal]],30%,IF($G$36,40%,Cdlac[[#This Row],[iAMI]])),"")</f>
        <v>0.4</v>
      </c>
      <c r="P28" s="1101" cm="1">
        <f t="array" ref="P28">IF(Cdlac[[#This Row],[Quantity]]&gt;0,INDEX(TcacRents,$P$18,Cdlac[[#This Row],[Bedrooms]]+1)*Cdlac[[#This Row],[AMI]],"")</f>
        <v>1196</v>
      </c>
      <c r="Q28" s="1101" cm="1">
        <f t="array" ref="Q28">IF(Cdlac[[#This Row],[Quantity]]&gt;0,INDEX(HudFmrs,$P$18,Cdlac[[#This Row],[Bedrooms]]+1),"")</f>
        <v>2425</v>
      </c>
      <c r="R28" s="1101">
        <f>IF(Cdlac[[#This Row],[Quantity]]&gt;0,MAX(0,Cdlac[[#This Row],[Fair Market Rent]]-Cdlac[[#This Row],[Restricted Rent]]),"")</f>
        <v>1229</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2292</v>
      </c>
      <c r="G29" s="1156">
        <f>G27</f>
        <v>210.25</v>
      </c>
      <c r="H29" s="1112"/>
      <c r="I29" s="1112"/>
      <c r="L29" s="1079">
        <f>IFERROR(MIN(4,MATCH(Application!B727,UnitSizes,0)-1),"")</f>
        <v>2</v>
      </c>
      <c r="M29" s="1101">
        <f>Application!G727</f>
        <v>4</v>
      </c>
      <c r="N29" s="1109">
        <f>Application!AC727</f>
        <v>0.5</v>
      </c>
      <c r="O29" s="1109">
        <f>IF(Cdlac[[#This Row],[Quantity]]&gt;0,IF(Cdlac[[#This Row],[Federal]],30%,IF($G$36,40%,Cdlac[[#This Row],[iAMI]])),"")</f>
        <v>0.5</v>
      </c>
      <c r="P29" s="1101" cm="1">
        <f t="array" ref="P29">IF(Cdlac[[#This Row],[Quantity]]&gt;0,INDEX(TcacRents,$P$18,Cdlac[[#This Row],[Bedrooms]]+1)*Cdlac[[#This Row],[AMI]],"")</f>
        <v>1495</v>
      </c>
      <c r="Q29" s="1101" cm="1">
        <f t="array" ref="Q29">IF(Cdlac[[#This Row],[Quantity]]&gt;0,INDEX(HudFmrs,$P$18,Cdlac[[#This Row],[Bedrooms]]+1),"")</f>
        <v>2425</v>
      </c>
      <c r="R29" s="1101">
        <f>IF(Cdlac[[#This Row],[Quantity]]&gt;0,MAX(0,Cdlac[[#This Row],[Fair Market Rent]]-Cdlac[[#This Row],[Restricted Rent]]),"")</f>
        <v>930</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2244</v>
      </c>
      <c r="F30" s="1155" t="s">
        <v>2301</v>
      </c>
      <c r="G30" s="1157">
        <v>50000</v>
      </c>
      <c r="H30" s="1112"/>
      <c r="I30" s="1112"/>
      <c r="L30" s="1079">
        <f>IFERROR(MIN(4,MATCH(Application!B728,UnitSizes,0)-1),"")</f>
        <v>2</v>
      </c>
      <c r="M30" s="1101">
        <f>Application!G728</f>
        <v>4</v>
      </c>
      <c r="N30" s="1109">
        <f>Application!AC728</f>
        <v>0.6</v>
      </c>
      <c r="O30" s="1109">
        <f>IF(Cdlac[[#This Row],[Quantity]]&gt;0,IF(Cdlac[[#This Row],[Federal]],30%,IF($G$36,40%,Cdlac[[#This Row],[iAMI]])),"")</f>
        <v>0.6</v>
      </c>
      <c r="P30" s="1101" cm="1">
        <f t="array" ref="P30">IF(Cdlac[[#This Row],[Quantity]]&gt;0,INDEX(TcacRents,$P$18,Cdlac[[#This Row],[Bedrooms]]+1)*Cdlac[[#This Row],[AMI]],"")</f>
        <v>1794</v>
      </c>
      <c r="Q30" s="1101" cm="1">
        <f t="array" ref="Q30">IF(Cdlac[[#This Row],[Quantity]]&gt;0,INDEX(HudFmrs,$P$18,Cdlac[[#This Row],[Bedrooms]]+1),"")</f>
        <v>2425</v>
      </c>
      <c r="R30" s="1101">
        <f>IF(Cdlac[[#This Row],[Quantity]]&gt;0,MAX(0,Cdlac[[#This Row],[Fair Market Rent]]-Cdlac[[#This Row],[Restricted Rent]]),"")</f>
        <v>631</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2285</v>
      </c>
      <c r="F31" s="1081"/>
      <c r="G31" s="1161">
        <f>G30*G29</f>
        <v>10512500</v>
      </c>
      <c r="H31" s="1112"/>
      <c r="I31" s="1112"/>
      <c r="L31" s="1079">
        <f>IFERROR(MIN(4,MATCH(Application!B729,UnitSizes,0)-1),"")</f>
        <v>2</v>
      </c>
      <c r="M31" s="1101">
        <f>Application!G729</f>
        <v>15</v>
      </c>
      <c r="N31" s="1109">
        <f>Application!AC729</f>
        <v>0.7</v>
      </c>
      <c r="O31" s="1109">
        <f>IF(Cdlac[[#This Row],[Quantity]]&gt;0,IF(Cdlac[[#This Row],[Federal]],30%,IF($G$36,40%,Cdlac[[#This Row],[iAMI]])),"")</f>
        <v>0.7</v>
      </c>
      <c r="P31" s="1101" cm="1">
        <f t="array" ref="P31">IF(Cdlac[[#This Row],[Quantity]]&gt;0,INDEX(TcacRents,$P$18,Cdlac[[#This Row],[Bedrooms]]+1)*Cdlac[[#This Row],[AMI]],"")</f>
        <v>2093</v>
      </c>
      <c r="Q31" s="1101" cm="1">
        <f t="array" ref="Q31">IF(Cdlac[[#This Row],[Quantity]]&gt;0,INDEX(HudFmrs,$P$18,Cdlac[[#This Row],[Bedrooms]]+1),"")</f>
        <v>2425</v>
      </c>
      <c r="R31" s="1101">
        <f>IF(Cdlac[[#This Row],[Quantity]]&gt;0,MAX(0,Cdlac[[#This Row],[Fair Market Rent]]-Cdlac[[#This Row],[Restricted Rent]]),"")</f>
        <v>332</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3</v>
      </c>
      <c r="M32" s="1101">
        <f>Application!G730</f>
        <v>2</v>
      </c>
      <c r="N32" s="1109">
        <f>Application!AC730</f>
        <v>0.3</v>
      </c>
      <c r="O32" s="1109">
        <f>IF(Cdlac[[#This Row],[Quantity]]&gt;0,IF(Cdlac[[#This Row],[Federal]],30%,IF($G$36,40%,Cdlac[[#This Row],[iAMI]])),"")</f>
        <v>0.3</v>
      </c>
      <c r="P32" s="1101" cm="1">
        <f t="array" ref="P32">IF(Cdlac[[#This Row],[Quantity]]&gt;0,INDEX(TcacRents,$P$18,Cdlac[[#This Row],[Bedrooms]]+1)*Cdlac[[#This Row],[AMI]],"")</f>
        <v>1035.5999999999999</v>
      </c>
      <c r="Q32" s="1101" cm="1">
        <f t="array" ref="Q32">IF(Cdlac[[#This Row],[Quantity]]&gt;0,INDEX(HudFmrs,$P$18,Cdlac[[#This Row],[Bedrooms]]+1),"")</f>
        <v>3368</v>
      </c>
      <c r="R32" s="1101">
        <f>IF(Cdlac[[#This Row],[Quantity]]&gt;0,MAX(0,Cdlac[[#This Row],[Fair Market Rent]]-Cdlac[[#This Row],[Restricted Rent]]),"")</f>
        <v>2332.4</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4</v>
      </c>
      <c r="N33" s="1109">
        <f>Application!AC731</f>
        <v>0.3</v>
      </c>
      <c r="O33" s="1109">
        <f>IF(Cdlac[[#This Row],[Quantity]]&gt;0,IF(Cdlac[[#This Row],[Federal]],30%,IF($G$36,40%,Cdlac[[#This Row],[iAMI]])),"")</f>
        <v>0.3</v>
      </c>
      <c r="P33" s="1101" cm="1">
        <f t="array" ref="P33">IF(Cdlac[[#This Row],[Quantity]]&gt;0,INDEX(TcacRents,$P$18,Cdlac[[#This Row],[Bedrooms]]+1)*Cdlac[[#This Row],[AMI]],"")</f>
        <v>1035.5999999999999</v>
      </c>
      <c r="Q33" s="1101" cm="1">
        <f t="array" ref="Q33">IF(Cdlac[[#This Row],[Quantity]]&gt;0,INDEX(HudFmrs,$P$18,Cdlac[[#This Row],[Bedrooms]]+1),"")</f>
        <v>3368</v>
      </c>
      <c r="R33" s="1101">
        <f>IF(Cdlac[[#This Row],[Quantity]]&gt;0,MAX(0,Cdlac[[#This Row],[Fair Market Rent]]-Cdlac[[#This Row],[Restricted Rent]]),"")</f>
        <v>2332.4</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3</v>
      </c>
      <c r="M34" s="1101">
        <f>Application!G732</f>
        <v>6</v>
      </c>
      <c r="N34" s="1109">
        <f>Application!AC732</f>
        <v>0.4</v>
      </c>
      <c r="O34" s="1109">
        <f>IF(Cdlac[[#This Row],[Quantity]]&gt;0,IF(Cdlac[[#This Row],[Federal]],30%,IF($G$36,40%,Cdlac[[#This Row],[iAMI]])),"")</f>
        <v>0.4</v>
      </c>
      <c r="P34" s="1101" cm="1">
        <f t="array" ref="P34">IF(Cdlac[[#This Row],[Quantity]]&gt;0,INDEX(TcacRents,$P$18,Cdlac[[#This Row],[Bedrooms]]+1)*Cdlac[[#This Row],[AMI]],"")</f>
        <v>1380.8000000000002</v>
      </c>
      <c r="Q34" s="1101" cm="1">
        <f t="array" ref="Q34">IF(Cdlac[[#This Row],[Quantity]]&gt;0,INDEX(HudFmrs,$P$18,Cdlac[[#This Row],[Bedrooms]]+1),"")</f>
        <v>3368</v>
      </c>
      <c r="R34" s="1101">
        <f>IF(Cdlac[[#This Row],[Quantity]]&gt;0,MAX(0,Cdlac[[#This Row],[Fair Market Rent]]-Cdlac[[#This Row],[Restricted Rent]]),"")</f>
        <v>1987.1999999999998</v>
      </c>
      <c r="S34" s="1079">
        <f>IF(Cdlac[[#This Row],[Quantity]]&gt;0,AND(Application!AK732&lt;&gt;"N/A",Application!AK732&lt;&gt;"")*Cdlac[[#This Row],[Quantity]],"")</f>
        <v>0</v>
      </c>
      <c r="T34" s="1079" t="b">
        <f>AND('Subsidy Contract Calculation'!F18&gt;0,'Subsidy Contract Calculation'!C18="Federal",Cdlac[[#This Row],[Quantity]]&gt;0)</f>
        <v>0</v>
      </c>
    </row>
    <row r="35" spans="2:20" ht="15" customHeight="1">
      <c r="E35" s="1124" t="s">
        <v>2312</v>
      </c>
      <c r="G35" s="1162" cm="1">
        <f t="array" ref="G35">SUMPRODUCT(Cdlac[Quantity],Cdlac[iAMI],IF(Cdlac[Federal],0,1))/SUMIFS(Cdlac[Quantity],Cdlac[Federal],FALSE)</f>
        <v>0.59024390243902436</v>
      </c>
      <c r="L35" s="1079">
        <f>IFERROR(MIN(4,MATCH(Application!B733,UnitSizes,0)-1),"")</f>
        <v>3</v>
      </c>
      <c r="M35" s="1101">
        <f>Application!G733</f>
        <v>6</v>
      </c>
      <c r="N35" s="1109">
        <f>Application!AC733</f>
        <v>0.5</v>
      </c>
      <c r="O35" s="1109">
        <f>IF(Cdlac[[#This Row],[Quantity]]&gt;0,IF(Cdlac[[#This Row],[Federal]],30%,IF($G$36,40%,Cdlac[[#This Row],[iAMI]])),"")</f>
        <v>0.5</v>
      </c>
      <c r="P35" s="1101" cm="1">
        <f t="array" ref="P35">IF(Cdlac[[#This Row],[Quantity]]&gt;0,INDEX(TcacRents,$P$18,Cdlac[[#This Row],[Bedrooms]]+1)*Cdlac[[#This Row],[AMI]],"")</f>
        <v>1726</v>
      </c>
      <c r="Q35" s="1101" cm="1">
        <f t="array" ref="Q35">IF(Cdlac[[#This Row],[Quantity]]&gt;0,INDEX(HudFmrs,$P$18,Cdlac[[#This Row],[Bedrooms]]+1),"")</f>
        <v>3368</v>
      </c>
      <c r="R35" s="1101">
        <f>IF(Cdlac[[#This Row],[Quantity]]&gt;0,MAX(0,Cdlac[[#This Row],[Fair Market Rent]]-Cdlac[[#This Row],[Restricted Rent]]),"")</f>
        <v>1642</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2307</v>
      </c>
      <c r="G36" s="1119" t="b">
        <f>G35&lt;40%</f>
        <v>0</v>
      </c>
      <c r="L36" s="1079">
        <f>IFERROR(MIN(4,MATCH(Application!B734,UnitSizes,0)-1),"")</f>
        <v>3</v>
      </c>
      <c r="M36" s="1101">
        <f>Application!G734</f>
        <v>6</v>
      </c>
      <c r="N36" s="1109">
        <f>Application!AC734</f>
        <v>0.6</v>
      </c>
      <c r="O36" s="1109">
        <f>IF(Cdlac[[#This Row],[Quantity]]&gt;0,IF(Cdlac[[#This Row],[Federal]],30%,IF($G$36,40%,Cdlac[[#This Row],[iAMI]])),"")</f>
        <v>0.6</v>
      </c>
      <c r="P36" s="1101" cm="1">
        <f t="array" ref="P36">IF(Cdlac[[#This Row],[Quantity]]&gt;0,INDEX(TcacRents,$P$18,Cdlac[[#This Row],[Bedrooms]]+1)*Cdlac[[#This Row],[AMI]],"")</f>
        <v>2071.1999999999998</v>
      </c>
      <c r="Q36" s="1101" cm="1">
        <f t="array" ref="Q36">IF(Cdlac[[#This Row],[Quantity]]&gt;0,INDEX(HudFmrs,$P$18,Cdlac[[#This Row],[Bedrooms]]+1),"")</f>
        <v>3368</v>
      </c>
      <c r="R36" s="1101">
        <f>IF(Cdlac[[#This Row],[Quantity]]&gt;0,MAX(0,Cdlac[[#This Row],[Fair Market Rent]]-Cdlac[[#This Row],[Restricted Rent]]),"")</f>
        <v>1296.8000000000002</v>
      </c>
      <c r="S36" s="1079">
        <f>IF(Cdlac[[#This Row],[Quantity]]&gt;0,AND(Application!AK734&lt;&gt;"N/A",Application!AK734&lt;&gt;"")*Cdlac[[#This Row],[Quantity]],"")</f>
        <v>0</v>
      </c>
      <c r="T36" s="1079" t="b">
        <f>AND('Subsidy Contract Calculation'!F20&gt;0,'Subsidy Contract Calculation'!C20="Federal",Cdlac[[#This Row],[Quantity]]&gt;0)</f>
        <v>0</v>
      </c>
    </row>
    <row r="37" spans="2:20" ht="15" customHeight="1">
      <c r="L37" s="1079">
        <f>IFERROR(MIN(4,MATCH(Application!B735,UnitSizes,0)-1),"")</f>
        <v>3</v>
      </c>
      <c r="M37" s="1101">
        <f>Application!G735</f>
        <v>31</v>
      </c>
      <c r="N37" s="1109">
        <f>Application!AC735</f>
        <v>0.7</v>
      </c>
      <c r="O37" s="1109">
        <f>IF(Cdlac[[#This Row],[Quantity]]&gt;0,IF(Cdlac[[#This Row],[Federal]],30%,IF($G$36,40%,Cdlac[[#This Row],[iAMI]])),"")</f>
        <v>0.7</v>
      </c>
      <c r="P37" s="1101" cm="1">
        <f t="array" ref="P37">IF(Cdlac[[#This Row],[Quantity]]&gt;0,INDEX(TcacRents,$P$18,Cdlac[[#This Row],[Bedrooms]]+1)*Cdlac[[#This Row],[AMI]],"")</f>
        <v>2416.3999999999996</v>
      </c>
      <c r="Q37" s="1101" cm="1">
        <f t="array" ref="Q37">IF(Cdlac[[#This Row],[Quantity]]&gt;0,INDEX(HudFmrs,$P$18,Cdlac[[#This Row],[Bedrooms]]+1),"")</f>
        <v>3368</v>
      </c>
      <c r="R37" s="1101">
        <f>IF(Cdlac[[#This Row],[Quantity]]&gt;0,MAX(0,Cdlac[[#This Row],[Fair Market Rent]]-Cdlac[[#This Row],[Restricted Rent]]),"")</f>
        <v>951.60000000000036</v>
      </c>
      <c r="S37" s="1079">
        <f>IF(Cdlac[[#This Row],[Quantity]]&gt;0,AND(Application!AK735&lt;&gt;"N/A",Application!AK735&lt;&gt;"")*Cdlac[[#This Row],[Quantity]],"")</f>
        <v>0</v>
      </c>
      <c r="T37" s="1079" t="b">
        <f>AND('Subsidy Contract Calculation'!F21&gt;0,'Subsidy Contract Calculation'!C21="Federal",Cdlac[[#This Row],[Quantity]]&gt;0)</f>
        <v>0</v>
      </c>
    </row>
    <row r="38" spans="2:20" ht="15" customHeight="1">
      <c r="E38" s="1124" t="s">
        <v>2248</v>
      </c>
      <c r="G38" s="1116">
        <f>SUMPRODUCT(Cdlac[Quantity],Cdlac[Delta])</f>
        <v>156206.80000000002</v>
      </c>
      <c r="L38" s="1079">
        <f>IFERROR(MIN(4,MATCH(Application!B736,UnitSizes,0)-1),"")</f>
        <v>4</v>
      </c>
      <c r="M38" s="1101">
        <f>Application!G736</f>
        <v>2</v>
      </c>
      <c r="N38" s="1109">
        <f>Application!AC736</f>
        <v>0.3</v>
      </c>
      <c r="O38" s="1109">
        <f>IF(Cdlac[[#This Row],[Quantity]]&gt;0,IF(Cdlac[[#This Row],[Federal]],30%,IF($G$36,40%,Cdlac[[#This Row],[iAMI]])),"")</f>
        <v>0.3</v>
      </c>
      <c r="P38" s="1101" cm="1">
        <f t="array" ref="P38">IF(Cdlac[[#This Row],[Quantity]]&gt;0,INDEX(TcacRents,$P$18,Cdlac[[#This Row],[Bedrooms]]+1)*Cdlac[[#This Row],[AMI]],"")</f>
        <v>1155.5999999999999</v>
      </c>
      <c r="Q38" s="1101" cm="1">
        <f t="array" ref="Q38">IF(Cdlac[[#This Row],[Quantity]]&gt;0,INDEX(HudFmrs,$P$18,Cdlac[[#This Row],[Bedrooms]]+1),"")</f>
        <v>3962</v>
      </c>
      <c r="R38" s="1101">
        <f>IF(Cdlac[[#This Row],[Quantity]]&gt;0,MAX(0,Cdlac[[#This Row],[Fair Market Rent]]-Cdlac[[#This Row],[Restricted Rent]]),"")</f>
        <v>2806.4</v>
      </c>
      <c r="S38" s="1079">
        <f>IF(Cdlac[[#This Row],[Quantity]]&gt;0,AND(Application!AK736&lt;&gt;"N/A",Application!AK736&lt;&gt;"")*Cdlac[[#This Row],[Quantity]],"")</f>
        <v>0</v>
      </c>
      <c r="T38" s="1079" t="b">
        <f>AND('Subsidy Contract Calculation'!F22&gt;0,'Subsidy Contract Calculation'!C22="Federal",Cdlac[[#This Row],[Quantity]]&gt;0)</f>
        <v>0</v>
      </c>
    </row>
    <row r="39" spans="2:20" ht="15" customHeight="1">
      <c r="E39" s="1159" t="s">
        <v>2313</v>
      </c>
      <c r="F39" s="1155" t="s">
        <v>2301</v>
      </c>
      <c r="G39" s="1163">
        <f>12*15</f>
        <v>180</v>
      </c>
      <c r="L39" s="1079">
        <f>IFERROR(MIN(4,MATCH(Application!B737,UnitSizes,0)-1),"")</f>
        <v>4</v>
      </c>
      <c r="M39" s="1101">
        <f>Application!G737</f>
        <v>2</v>
      </c>
      <c r="N39" s="1109">
        <f>Application!AC737</f>
        <v>0.4</v>
      </c>
      <c r="O39" s="1109">
        <f>IF(Cdlac[[#This Row],[Quantity]]&gt;0,IF(Cdlac[[#This Row],[Federal]],30%,IF($G$36,40%,Cdlac[[#This Row],[iAMI]])),"")</f>
        <v>0.4</v>
      </c>
      <c r="P39" s="1101" cm="1">
        <f t="array" ref="P39">IF(Cdlac[[#This Row],[Quantity]]&gt;0,INDEX(TcacRents,$P$18,Cdlac[[#This Row],[Bedrooms]]+1)*Cdlac[[#This Row],[AMI]],"")</f>
        <v>1540.8000000000002</v>
      </c>
      <c r="Q39" s="1101" cm="1">
        <f t="array" ref="Q39">IF(Cdlac[[#This Row],[Quantity]]&gt;0,INDEX(HudFmrs,$P$18,Cdlac[[#This Row],[Bedrooms]]+1),"")</f>
        <v>3962</v>
      </c>
      <c r="R39" s="1101">
        <f>IF(Cdlac[[#This Row],[Quantity]]&gt;0,MAX(0,Cdlac[[#This Row],[Fair Market Rent]]-Cdlac[[#This Row],[Restricted Rent]]),"")</f>
        <v>2421.1999999999998</v>
      </c>
      <c r="S39" s="1079">
        <f>IF(Cdlac[[#This Row],[Quantity]]&gt;0,AND(Application!AK737&lt;&gt;"N/A",Application!AK737&lt;&gt;"")*Cdlac[[#This Row],[Quantity]],"")</f>
        <v>0</v>
      </c>
      <c r="T39" s="1079" t="b">
        <f>AND('Subsidy Contract Calculation'!F23&gt;0,'Subsidy Contract Calculation'!C23="Federal",Cdlac[[#This Row],[Quantity]]&gt;0)</f>
        <v>0</v>
      </c>
    </row>
    <row r="40" spans="2:20" ht="15" customHeight="1">
      <c r="E40" s="1164" t="s">
        <v>2241</v>
      </c>
      <c r="F40" s="1081"/>
      <c r="G40" s="1165">
        <f>G38*G39</f>
        <v>28117224.000000004</v>
      </c>
      <c r="L40" s="1079">
        <f>IFERROR(MIN(4,MATCH(Application!B738,UnitSizes,0)-1),"")</f>
        <v>4</v>
      </c>
      <c r="M40" s="1101">
        <f>Application!G738</f>
        <v>2</v>
      </c>
      <c r="N40" s="1109">
        <f>Application!AC738</f>
        <v>0.5</v>
      </c>
      <c r="O40" s="1109">
        <f>IF(Cdlac[[#This Row],[Quantity]]&gt;0,IF(Cdlac[[#This Row],[Federal]],30%,IF($G$36,40%,Cdlac[[#This Row],[iAMI]])),"")</f>
        <v>0.5</v>
      </c>
      <c r="P40" s="1101" cm="1">
        <f t="array" ref="P40">IF(Cdlac[[#This Row],[Quantity]]&gt;0,INDEX(TcacRents,$P$18,Cdlac[[#This Row],[Bedrooms]]+1)*Cdlac[[#This Row],[AMI]],"")</f>
        <v>1926</v>
      </c>
      <c r="Q40" s="1101" cm="1">
        <f t="array" ref="Q40">IF(Cdlac[[#This Row],[Quantity]]&gt;0,INDEX(HudFmrs,$P$18,Cdlac[[#This Row],[Bedrooms]]+1),"")</f>
        <v>3962</v>
      </c>
      <c r="R40" s="1101">
        <f>IF(Cdlac[[#This Row],[Quantity]]&gt;0,MAX(0,Cdlac[[#This Row],[Fair Market Rent]]-Cdlac[[#This Row],[Restricted Rent]]),"")</f>
        <v>2036</v>
      </c>
      <c r="S40" s="1079">
        <f>IF(Cdlac[[#This Row],[Quantity]]&gt;0,AND(Application!AK738&lt;&gt;"N/A",Application!AK738&lt;&gt;"")*Cdlac[[#This Row],[Quantity]],"")</f>
        <v>0</v>
      </c>
      <c r="T40" s="1079" t="b">
        <f>AND('Subsidy Contract Calculation'!F24&gt;0,'Subsidy Contract Calculation'!C24="Federal",Cdlac[[#This Row],[Quantity]]&gt;0)</f>
        <v>0</v>
      </c>
    </row>
    <row r="41" spans="2:20" ht="15" customHeight="1">
      <c r="L41" s="1079">
        <f>IFERROR(MIN(4,MATCH(Application!B739,UnitSizes,0)-1),"")</f>
        <v>4</v>
      </c>
      <c r="M41" s="1101">
        <f>Application!G739</f>
        <v>2</v>
      </c>
      <c r="N41" s="1109">
        <f>Application!AC739</f>
        <v>0.6</v>
      </c>
      <c r="O41" s="1109">
        <f>IF(Cdlac[[#This Row],[Quantity]]&gt;0,IF(Cdlac[[#This Row],[Federal]],30%,IF($G$36,40%,Cdlac[[#This Row],[iAMI]])),"")</f>
        <v>0.6</v>
      </c>
      <c r="P41" s="1101" cm="1">
        <f t="array" ref="P41">IF(Cdlac[[#This Row],[Quantity]]&gt;0,INDEX(TcacRents,$P$18,Cdlac[[#This Row],[Bedrooms]]+1)*Cdlac[[#This Row],[AMI]],"")</f>
        <v>2311.1999999999998</v>
      </c>
      <c r="Q41" s="1101" cm="1">
        <f t="array" ref="Q41">IF(Cdlac[[#This Row],[Quantity]]&gt;0,INDEX(HudFmrs,$P$18,Cdlac[[#This Row],[Bedrooms]]+1),"")</f>
        <v>3962</v>
      </c>
      <c r="R41" s="1101">
        <f>IF(Cdlac[[#This Row],[Quantity]]&gt;0,MAX(0,Cdlac[[#This Row],[Fair Market Rent]]-Cdlac[[#This Row],[Restricted Rent]]),"")</f>
        <v>1650.8000000000002</v>
      </c>
      <c r="S41" s="1079">
        <f>IF(Cdlac[[#This Row],[Quantity]]&gt;0,AND(Application!AK739&lt;&gt;"N/A",Application!AK739&lt;&gt;"")*Cdlac[[#This Row],[Quantity]],"")</f>
        <v>0</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f>IFERROR(MIN(4,MATCH(Application!B740,UnitSizes,0)-1),"")</f>
        <v>4</v>
      </c>
      <c r="M42" s="1101">
        <f>Application!G740</f>
        <v>10</v>
      </c>
      <c r="N42" s="1109">
        <f>Application!AC740</f>
        <v>0.7</v>
      </c>
      <c r="O42" s="1109">
        <f>IF(Cdlac[[#This Row],[Quantity]]&gt;0,IF(Cdlac[[#This Row],[Federal]],30%,IF($G$36,40%,Cdlac[[#This Row],[iAMI]])),"")</f>
        <v>0.7</v>
      </c>
      <c r="P42" s="1101" cm="1">
        <f t="array" ref="P42">IF(Cdlac[[#This Row],[Quantity]]&gt;0,INDEX(TcacRents,$P$18,Cdlac[[#This Row],[Bedrooms]]+1)*Cdlac[[#This Row],[AMI]],"")</f>
        <v>2696.3999999999996</v>
      </c>
      <c r="Q42" s="1101" cm="1">
        <f t="array" ref="Q42">IF(Cdlac[[#This Row],[Quantity]]&gt;0,INDEX(HudFmrs,$P$18,Cdlac[[#This Row],[Bedrooms]]+1),"")</f>
        <v>3962</v>
      </c>
      <c r="R42" s="1101">
        <f>IF(Cdlac[[#This Row],[Quantity]]&gt;0,MAX(0,Cdlac[[#This Row],[Fair Market Rent]]-Cdlac[[#This Row],[Restricted Rent]]),"")</f>
        <v>1265.6000000000004</v>
      </c>
      <c r="S42" s="1079">
        <f>IF(Cdlac[[#This Row],[Quantity]]&gt;0,AND(Application!AK740&lt;&gt;"N/A",Application!AK740&lt;&gt;"")*Cdlac[[#This Row],[Quantity]],"")</f>
        <v>0</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2302</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2303</v>
      </c>
      <c r="G45" s="1167">
        <f>ROUNDDOWN(E27*50%,0)</f>
        <v>82</v>
      </c>
    </row>
    <row r="46" spans="2:20" ht="15" customHeight="1">
      <c r="E46" s="1159"/>
      <c r="G46" s="1167"/>
    </row>
    <row r="47" spans="2:20" ht="15" customHeight="1">
      <c r="E47" s="1159" t="s">
        <v>2254</v>
      </c>
      <c r="G47" s="1156">
        <f>MIN(G44:G45)</f>
        <v>0</v>
      </c>
    </row>
    <row r="48" spans="2:20" ht="15" customHeight="1">
      <c r="E48" s="1159" t="s">
        <v>2244</v>
      </c>
      <c r="F48" s="1155" t="s">
        <v>2301</v>
      </c>
      <c r="G48" s="1166">
        <v>10000</v>
      </c>
    </row>
    <row r="49" spans="2:14" ht="15" customHeight="1">
      <c r="E49" s="1160" t="s">
        <v>2284</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2304</v>
      </c>
      <c r="G53" s="1117">
        <f>SUMIFS(Cdlac[Quantity],Cdlac[iAMI],"&lt;=30%")</f>
        <v>18</v>
      </c>
    </row>
    <row r="54" spans="2:14" ht="15" customHeight="1">
      <c r="E54" s="1159" t="s">
        <v>2303</v>
      </c>
      <c r="G54" s="1117">
        <f>ROUNDDOWN(E27*50%,0)</f>
        <v>82</v>
      </c>
    </row>
    <row r="55" spans="2:14" ht="15" customHeight="1">
      <c r="E55" s="1159"/>
      <c r="G55" s="1117"/>
    </row>
    <row r="56" spans="2:14" ht="15" customHeight="1">
      <c r="E56" s="1159" t="s">
        <v>2254</v>
      </c>
      <c r="G56" s="1156">
        <f>MIN(G53:G54)</f>
        <v>18</v>
      </c>
    </row>
    <row r="57" spans="2:14" ht="15" customHeight="1">
      <c r="E57" s="1159" t="s">
        <v>2244</v>
      </c>
      <c r="F57" s="1155" t="s">
        <v>2301</v>
      </c>
      <c r="G57" s="1166">
        <v>20000</v>
      </c>
    </row>
    <row r="58" spans="2:14" ht="15" customHeight="1">
      <c r="E58" s="1160" t="s">
        <v>2283</v>
      </c>
      <c r="F58" s="1081"/>
      <c r="G58" s="1165">
        <f>G56*G57</f>
        <v>360000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2257</v>
      </c>
      <c r="G62" s="1156">
        <f>VLOOKUP('Points System'!$H$595,'Points System'!$AO$575:$AP$580,2,FALSE)</f>
        <v>4</v>
      </c>
      <c r="L62" s="1169" t="str">
        <f>'Points System'!H627</f>
        <v>(i)</v>
      </c>
      <c r="M62" s="2157" t="s">
        <v>1516</v>
      </c>
      <c r="N62" s="2158"/>
    </row>
    <row r="63" spans="2:14" ht="15" customHeight="1">
      <c r="E63" s="1124" t="s">
        <v>2244</v>
      </c>
      <c r="F63" s="1155" t="s">
        <v>2301</v>
      </c>
      <c r="G63" s="1114">
        <v>4000</v>
      </c>
      <c r="L63" s="1170" t="str">
        <f>'Points System'!H639</f>
        <v>(ii)</v>
      </c>
      <c r="M63" s="2159" t="s">
        <v>2258</v>
      </c>
      <c r="N63" s="2160"/>
    </row>
    <row r="64" spans="2:14" ht="15" customHeight="1">
      <c r="E64" s="1124" t="s">
        <v>2305</v>
      </c>
      <c r="F64" s="1155" t="s">
        <v>2301</v>
      </c>
      <c r="G64" s="1168">
        <f>G27</f>
        <v>210.25</v>
      </c>
      <c r="L64" s="1170" t="str">
        <f>'Points System'!H674</f>
        <v>(vii)</v>
      </c>
      <c r="M64" s="2159" t="s">
        <v>2259</v>
      </c>
      <c r="N64" s="2160"/>
    </row>
    <row r="65" spans="2:14" ht="15" customHeight="1">
      <c r="E65" s="1160" t="s">
        <v>2263</v>
      </c>
      <c r="F65" s="1081"/>
      <c r="G65" s="1165">
        <f>G62*G63*G64</f>
        <v>3364000</v>
      </c>
      <c r="L65" s="1170" t="str">
        <f>IF(OR('Points System'!H698="(ii)",'Points System'!H698="(i)"),"(i)","N/A")</f>
        <v>N/A</v>
      </c>
      <c r="M65" s="2159" t="s">
        <v>2260</v>
      </c>
      <c r="N65" s="2160"/>
    </row>
    <row r="66" spans="2:14" ht="15" customHeight="1">
      <c r="C66" s="1115"/>
      <c r="G66" s="1156"/>
      <c r="L66" s="1171" t="str">
        <f>'Points System'!H712</f>
        <v>N/A</v>
      </c>
      <c r="M66" s="2159" t="s">
        <v>1542</v>
      </c>
      <c r="N66" s="2160"/>
    </row>
    <row r="67" spans="2:14" ht="15" customHeight="1">
      <c r="E67" s="1124" t="s">
        <v>2306</v>
      </c>
      <c r="G67" s="1168">
        <f>COUNTIFS(L62:L69,"(i)")</f>
        <v>2</v>
      </c>
      <c r="L67" s="1170" t="str">
        <f>'Points System'!H724</f>
        <v>N/A</v>
      </c>
      <c r="M67" s="2159" t="s">
        <v>2261</v>
      </c>
      <c r="N67" s="2160"/>
    </row>
    <row r="68" spans="2:14" ht="15" customHeight="1">
      <c r="E68" s="1124" t="s">
        <v>2244</v>
      </c>
      <c r="F68" s="1155" t="s">
        <v>2301</v>
      </c>
      <c r="G68" s="1166">
        <v>4000</v>
      </c>
      <c r="L68" s="1170" t="str">
        <f>'Points System'!H740</f>
        <v>(i)</v>
      </c>
      <c r="M68" s="2159" t="s">
        <v>2262</v>
      </c>
      <c r="N68" s="2160"/>
    </row>
    <row r="69" spans="2:14" ht="15" customHeight="1" thickBot="1">
      <c r="E69" s="1160" t="s">
        <v>2264</v>
      </c>
      <c r="F69" s="1081"/>
      <c r="G69" s="1165">
        <f>G64*G67*G68</f>
        <v>1682000</v>
      </c>
      <c r="L69" s="1172" t="str">
        <f>'Points System'!H752</f>
        <v>N/A</v>
      </c>
      <c r="M69" s="2165" t="s">
        <v>1545</v>
      </c>
      <c r="N69" s="2166"/>
    </row>
    <row r="70" spans="2:14" ht="15" customHeight="1"/>
    <row r="71" spans="2:14" ht="15" customHeight="1">
      <c r="C71" s="1118" t="s">
        <v>2266</v>
      </c>
    </row>
    <row r="72" spans="2:14" ht="15" customHeight="1">
      <c r="C72" s="1115" t="s">
        <v>2267</v>
      </c>
      <c r="G72" s="1078"/>
    </row>
    <row r="73" spans="2:14" ht="15" customHeight="1">
      <c r="C73" s="1115" t="s">
        <v>2268</v>
      </c>
      <c r="G73" s="1078"/>
    </row>
    <row r="74" spans="2:14" ht="15" customHeight="1">
      <c r="C74" s="1115" t="s">
        <v>2496</v>
      </c>
      <c r="G74" s="1078"/>
    </row>
    <row r="75" spans="2:14" ht="15" customHeight="1">
      <c r="C75" s="1115" t="s">
        <v>2497</v>
      </c>
      <c r="G75" s="1078"/>
    </row>
    <row r="76" spans="2:14" ht="15" customHeight="1"/>
    <row r="77" spans="2:14" ht="15" customHeight="1">
      <c r="B77" s="1116"/>
      <c r="C77" s="1115"/>
      <c r="E77" s="1124" t="s">
        <v>2308</v>
      </c>
      <c r="G77" s="1117" t="b">
        <f>COUNTIFS(G72:G75,"Yes")&gt;=1</f>
        <v>0</v>
      </c>
    </row>
    <row r="78" spans="2:14" ht="15" customHeight="1">
      <c r="E78" s="1115"/>
    </row>
    <row r="79" spans="2:14" ht="15" customHeight="1">
      <c r="E79" s="1124" t="s">
        <v>2305</v>
      </c>
      <c r="F79" s="1155" t="s">
        <v>2301</v>
      </c>
      <c r="G79" s="1156">
        <f>G27</f>
        <v>210.25</v>
      </c>
    </row>
    <row r="80" spans="2:14" ht="15" customHeight="1">
      <c r="E80" s="1124" t="s">
        <v>2244</v>
      </c>
      <c r="F80" s="1155" t="s">
        <v>2301</v>
      </c>
      <c r="G80" s="1166">
        <v>25000</v>
      </c>
    </row>
    <row r="81" spans="2:14" ht="15" customHeight="1">
      <c r="E81" s="1160" t="s">
        <v>2265</v>
      </c>
      <c r="F81" s="1081"/>
      <c r="G81" s="1165">
        <f>G77*G80*G64</f>
        <v>0</v>
      </c>
    </row>
    <row r="82" spans="2:14" ht="15" customHeight="1">
      <c r="C82" s="1115"/>
      <c r="E82" s="1115"/>
    </row>
    <row r="83" spans="2:14" ht="15" customHeight="1">
      <c r="E83" s="1160" t="s">
        <v>2242</v>
      </c>
      <c r="G83" s="1165">
        <f>G81+G69+G65</f>
        <v>5046000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2287</v>
      </c>
      <c r="G87" s="1078" t="s">
        <v>553</v>
      </c>
      <c r="L87" s="2167" t="s">
        <v>2271</v>
      </c>
      <c r="M87" s="2168"/>
      <c r="N87" s="1173">
        <v>30000</v>
      </c>
    </row>
    <row r="88" spans="2:14" ht="15" customHeight="1">
      <c r="C88" s="1115" t="s">
        <v>2288</v>
      </c>
      <c r="G88" s="1119" t="str">
        <f>IF(Application!D211="Large Family","Yes","No")</f>
        <v>Yes</v>
      </c>
      <c r="L88" s="2161" t="s">
        <v>2235</v>
      </c>
      <c r="M88" s="2162"/>
      <c r="N88" s="1174">
        <v>20000</v>
      </c>
    </row>
    <row r="89" spans="2:14" ht="15" customHeight="1" thickBot="1">
      <c r="C89" s="1115" t="s">
        <v>2269</v>
      </c>
      <c r="G89" s="1078"/>
      <c r="L89" s="2163" t="s">
        <v>2272</v>
      </c>
      <c r="M89" s="2164"/>
      <c r="N89" s="1175">
        <v>10000</v>
      </c>
    </row>
    <row r="90" spans="2:14" ht="15" customHeight="1">
      <c r="C90" s="1115" t="s">
        <v>2270</v>
      </c>
      <c r="G90" s="1079" t="str">
        <f>Application!T193</f>
        <v>Moderate Resource</v>
      </c>
    </row>
    <row r="91" spans="2:14" ht="15" customHeight="1">
      <c r="C91" s="1115"/>
    </row>
    <row r="92" spans="2:14" ht="15" customHeight="1">
      <c r="E92" s="1124" t="s">
        <v>2308</v>
      </c>
      <c r="G92" s="1117" t="b">
        <f>AND(COUNTIFS(G88:G89,"Yes")&gt;=1,G87="Yes")</f>
        <v>1</v>
      </c>
    </row>
    <row r="93" spans="2:14" ht="15" customHeight="1">
      <c r="E93" s="1124"/>
      <c r="G93" s="1117"/>
    </row>
    <row r="94" spans="2:14" ht="15" customHeight="1">
      <c r="E94" s="1124" t="s">
        <v>2244</v>
      </c>
      <c r="G94" s="1116">
        <f>IFERROR(INDEX(N87:N89,MATCH(LEFT(G90,17),L87:L89,0)),0)</f>
        <v>10000</v>
      </c>
    </row>
    <row r="95" spans="2:14" ht="15" customHeight="1">
      <c r="E95" s="1124" t="str">
        <f>E64</f>
        <v>Bedroom-Adjusted Low-Income Units</v>
      </c>
      <c r="F95" s="1155" t="s">
        <v>2301</v>
      </c>
      <c r="G95" s="1156">
        <f>G27</f>
        <v>210.25</v>
      </c>
    </row>
    <row r="96" spans="2:14" ht="15" customHeight="1">
      <c r="D96" s="1081"/>
      <c r="E96" s="1160" t="s">
        <v>2243</v>
      </c>
      <c r="F96" s="1081"/>
      <c r="G96" s="1165">
        <f>G95*G94*G92</f>
        <v>2102500</v>
      </c>
    </row>
    <row r="97" spans="2:9" ht="15" customHeight="1"/>
    <row r="98" spans="2:9" ht="15" customHeight="1">
      <c r="B98" s="1104" t="s">
        <v>2256</v>
      </c>
      <c r="C98" s="1105"/>
      <c r="D98" s="1105"/>
      <c r="E98" s="1105"/>
      <c r="F98" s="1105"/>
      <c r="G98" s="1105"/>
      <c r="H98" s="1105"/>
      <c r="I98" s="1106"/>
    </row>
    <row r="99" spans="2:9" ht="15" customHeight="1"/>
    <row r="100" spans="2:9" ht="15" customHeight="1">
      <c r="F100" s="1158" t="s">
        <v>2282</v>
      </c>
      <c r="G100" s="1078" t="s">
        <v>553</v>
      </c>
    </row>
    <row r="101" spans="2:9" ht="15" customHeight="1">
      <c r="F101" s="1158"/>
    </row>
    <row r="102" spans="2:9" ht="15" customHeight="1">
      <c r="E102" s="1124" t="s">
        <v>2308</v>
      </c>
      <c r="G102" s="1117" t="b">
        <f>G100="Yes"</f>
        <v>1</v>
      </c>
    </row>
    <row r="103" spans="2:9" ht="15" customHeight="1"/>
    <row r="104" spans="2:9" ht="15" customHeight="1">
      <c r="E104" s="1124" t="str">
        <f>E64</f>
        <v>Bedroom-Adjusted Low-Income Units</v>
      </c>
      <c r="G104" s="1156">
        <f>G27</f>
        <v>210.25</v>
      </c>
    </row>
    <row r="105" spans="2:9" ht="15" customHeight="1">
      <c r="E105" s="1124" t="s">
        <v>2244</v>
      </c>
      <c r="F105" s="1155" t="s">
        <v>2301</v>
      </c>
      <c r="G105" s="1085">
        <v>20000</v>
      </c>
    </row>
    <row r="106" spans="2:9" ht="15" customHeight="1">
      <c r="E106" s="1160" t="s">
        <v>2273</v>
      </c>
      <c r="F106" s="1081"/>
      <c r="G106" s="1165">
        <f>G102*G105*G104</f>
        <v>4205000</v>
      </c>
    </row>
    <row r="107" spans="2:9" ht="15" customHeight="1"/>
    <row r="108" spans="2:9" ht="15" customHeight="1">
      <c r="B108" s="1104" t="s">
        <v>2310</v>
      </c>
      <c r="C108" s="1105"/>
      <c r="D108" s="1105"/>
      <c r="E108" s="1105"/>
      <c r="F108" s="1105"/>
      <c r="G108" s="1105"/>
      <c r="H108" s="1105"/>
      <c r="I108" s="1106"/>
    </row>
    <row r="109" spans="2:9" ht="15" customHeight="1"/>
    <row r="110" spans="2:9" ht="15" customHeight="1">
      <c r="E110" s="1124" t="s">
        <v>590</v>
      </c>
      <c r="G110" s="1079" t="str">
        <f>IF(Application!T189="","",Application!T189)</f>
        <v>Ventura</v>
      </c>
    </row>
    <row r="111" spans="2:9" ht="15" customHeight="1">
      <c r="E111" s="1124"/>
      <c r="G111" s="1116"/>
    </row>
    <row r="112" spans="2:9" ht="15" customHeight="1">
      <c r="E112" s="1124" t="str">
        <f>"2-Bedroom "&amp;G110&amp;" County Basis Limit"</f>
        <v>2-Bedroom Ventura County Basis Limit</v>
      </c>
      <c r="G112" s="1116">
        <f>Application!R987</f>
        <v>538400</v>
      </c>
    </row>
    <row r="113" spans="4:9" ht="15" customHeight="1">
      <c r="E113" s="1124" t="s">
        <v>2309</v>
      </c>
      <c r="G113" s="1116">
        <f>MEDIAN((Application!BR806:BR863))</f>
        <v>489600</v>
      </c>
    </row>
    <row r="114" spans="4:9" ht="15" customHeight="1">
      <c r="D114" s="1081"/>
      <c r="E114" s="1160" t="s">
        <v>2311</v>
      </c>
      <c r="F114" s="1176"/>
      <c r="G114" s="1177">
        <f>((G112-G113)/G113)*0.25</f>
        <v>2.4918300653594773E-2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7AEC2085CD4A6498CA0B9E6E4B11DB1" ma:contentTypeVersion="14" ma:contentTypeDescription="Create a new document." ma:contentTypeScope="" ma:versionID="ae044050b4a75411b7c190e13b256ec1">
  <xsd:schema xmlns:xsd="http://www.w3.org/2001/XMLSchema" xmlns:xs="http://www.w3.org/2001/XMLSchema" xmlns:p="http://schemas.microsoft.com/office/2006/metadata/properties" xmlns:ns2="8e3d2390-3e9f-4951-85eb-aa6af364da4b" xmlns:ns3="d888acbf-a5e6-4737-a1ba-e5746652c718" targetNamespace="http://schemas.microsoft.com/office/2006/metadata/properties" ma:root="true" ma:fieldsID="a0823c130815d32e195ce44d6bea1b99" ns2:_="" ns3:_="">
    <xsd:import namespace="8e3d2390-3e9f-4951-85eb-aa6af364da4b"/>
    <xsd:import namespace="d888acbf-a5e6-4737-a1ba-e5746652c71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3d2390-3e9f-4951-85eb-aa6af364da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037e8c2-1139-4a2e-9625-e17b61b644a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888acbf-a5e6-4737-a1ba-e5746652c71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fc44386-634b-448d-aa7f-38853fcbf4e0}" ma:internalName="TaxCatchAll" ma:showField="CatchAllData" ma:web="d888acbf-a5e6-4737-a1ba-e5746652c71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485042-7A36-4EC5-B7C1-800CCDFE9A73}">
  <ds:schemaRefs>
    <ds:schemaRef ds:uri="http://schemas.microsoft.com/sharepoint/v3/contenttype/forms"/>
  </ds:schemaRefs>
</ds:datastoreItem>
</file>

<file path=customXml/itemProps2.xml><?xml version="1.0" encoding="utf-8"?>
<ds:datastoreItem xmlns:ds="http://schemas.openxmlformats.org/officeDocument/2006/customXml" ds:itemID="{FA9866C3-89F7-4284-8664-0DBC664F44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3d2390-3e9f-4951-85eb-aa6af364da4b"/>
    <ds:schemaRef ds:uri="d888acbf-a5e6-4737-a1ba-e5746652c7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442eb808-14f8-4f28-ba9b-2eb1b4e5381e}" enabled="0" method="" siteId="{442eb808-14f8-4f28-ba9b-2eb1b4e5381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Don Herrman</cp:lastModifiedBy>
  <cp:lastPrinted>2024-04-15T21:43:09Z</cp:lastPrinted>
  <dcterms:created xsi:type="dcterms:W3CDTF">2007-12-27T18:26:28Z</dcterms:created>
  <dcterms:modified xsi:type="dcterms:W3CDTF">2024-04-23T02:14:25Z</dcterms:modified>
</cp:coreProperties>
</file>