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Villa Verde/Development/08.0  FINANCING/8.11 CDLAC/8.11.2 Application/2024 Round 1/Draft/"/>
    </mc:Choice>
  </mc:AlternateContent>
  <xr:revisionPtr revIDLastSave="369" documentId="13_ncr:1_{30BF2807-FF57-3248-9088-83206FEDC25A}" xr6:coauthVersionLast="47" xr6:coauthVersionMax="47" xr10:uidLastSave="{491D1AC6-6239-4762-ADE2-15661B3424A2}"/>
  <bookViews>
    <workbookView xWindow="-2892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7"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9" i="20" l="1"/>
  <c r="N217" i="20"/>
  <c r="N216" i="20"/>
  <c r="N215" i="20"/>
  <c r="N214" i="20"/>
  <c r="N213" i="20"/>
  <c r="AA664" i="3" l="1"/>
  <c r="H664" i="3"/>
  <c r="AA656" i="3"/>
  <c r="H656" i="3"/>
  <c r="Z663" i="3"/>
  <c r="G663" i="3"/>
  <c r="Z655" i="3"/>
  <c r="G655" i="3"/>
  <c r="Z662" i="3"/>
  <c r="Z661" i="3"/>
  <c r="Z660" i="3"/>
  <c r="G662" i="3"/>
  <c r="G661" i="3"/>
  <c r="G660" i="3"/>
  <c r="Z654" i="3"/>
  <c r="Z653" i="3"/>
  <c r="Z652" i="3"/>
  <c r="G654" i="3"/>
  <c r="G653" i="3"/>
  <c r="G652" i="3"/>
  <c r="C53" i="4" l="1"/>
  <c r="S45" i="4"/>
  <c r="Q627" i="3" l="1"/>
  <c r="E30" i="4" l="1"/>
  <c r="C69" i="4"/>
  <c r="C65" i="4"/>
  <c r="C61" i="4"/>
  <c r="E41" i="7"/>
  <c r="C45" i="4"/>
  <c r="M960" i="3"/>
  <c r="AE960" i="3"/>
  <c r="AA918" i="3"/>
  <c r="AA917" i="3"/>
  <c r="Z806" i="3"/>
  <c r="Q494" i="3"/>
  <c r="AG448" i="3"/>
  <c r="AG446" i="3"/>
  <c r="AG442" i="3"/>
  <c r="AG443" i="3" s="1"/>
  <c r="S94" i="4"/>
  <c r="S93" i="4"/>
  <c r="S92" i="4"/>
  <c r="S89" i="4"/>
  <c r="S86" i="4"/>
  <c r="S85" i="4"/>
  <c r="S84" i="4"/>
  <c r="S79" i="4"/>
  <c r="S48" i="4"/>
  <c r="S51" i="4"/>
  <c r="S52" i="4"/>
  <c r="S50" i="4"/>
  <c r="S43" i="4"/>
  <c r="S41" i="4"/>
  <c r="S40" i="4"/>
  <c r="S37" i="4"/>
  <c r="S36" i="4"/>
  <c r="S35" i="4"/>
  <c r="S34" i="4"/>
  <c r="S33" i="4"/>
  <c r="S32" i="4"/>
  <c r="S31" i="4"/>
  <c r="S29" i="4"/>
  <c r="E99" i="4" l="1"/>
  <c r="E95" i="4"/>
  <c r="E94" i="4"/>
  <c r="E93" i="4"/>
  <c r="E92"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C40" i="4"/>
  <c r="E40" i="4" s="1"/>
  <c r="E37" i="4"/>
  <c r="E36" i="4"/>
  <c r="E35" i="4"/>
  <c r="E33" i="4"/>
  <c r="E32" i="4"/>
  <c r="E31" i="4"/>
  <c r="E29" i="4"/>
  <c r="E13" i="4"/>
  <c r="E10" i="4"/>
  <c r="E5" i="4"/>
  <c r="H4" i="4"/>
  <c r="C13" i="4"/>
  <c r="C94" i="4"/>
  <c r="C43" i="4"/>
  <c r="C32" i="4"/>
  <c r="C33" i="4" s="1"/>
  <c r="AA947"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D92" i="11" s="1"/>
  <c r="C93" i="11"/>
  <c r="C94" i="11"/>
  <c r="C95" i="11"/>
  <c r="C96" i="11"/>
  <c r="B85" i="1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9"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M58" i="7" s="1"/>
  <c r="O53" i="7"/>
  <c r="O58" i="7" s="1"/>
  <c r="Q53" i="7"/>
  <c r="S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R84" i="4"/>
  <c r="B59" i="4"/>
  <c r="C80" i="11"/>
  <c r="C81" i="11"/>
  <c r="B80" i="11"/>
  <c r="B81" i="11"/>
  <c r="D81" i="11" s="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c r="R103" i="4"/>
  <c r="R102" i="4"/>
  <c r="R101" i="4"/>
  <c r="R99" i="4"/>
  <c r="R95" i="4"/>
  <c r="R94" i="4"/>
  <c r="R93" i="4"/>
  <c r="R92" i="4"/>
  <c r="R90" i="4"/>
  <c r="R89" i="4"/>
  <c r="R88" i="4"/>
  <c r="R87" i="4"/>
  <c r="R86" i="4"/>
  <c r="R85" i="4"/>
  <c r="R83" i="4"/>
  <c r="R76" i="4"/>
  <c r="R75" i="4"/>
  <c r="R72" i="4"/>
  <c r="R73" i="4"/>
  <c r="R74" i="4"/>
  <c r="R77" i="4" s="1"/>
  <c r="R69" i="4"/>
  <c r="R65" i="4"/>
  <c r="R61" i="4"/>
  <c r="R60" i="4"/>
  <c r="R59" i="4"/>
  <c r="R58" i="4"/>
  <c r="R57" i="4"/>
  <c r="R56" i="4"/>
  <c r="R62" i="4" s="1"/>
  <c r="R53" i="4"/>
  <c r="R52" i="4"/>
  <c r="R51" i="4"/>
  <c r="R50" i="4"/>
  <c r="R49" i="4"/>
  <c r="R48" i="4"/>
  <c r="R47" i="4"/>
  <c r="R46" i="4"/>
  <c r="R54" i="4" s="1"/>
  <c r="R45" i="4"/>
  <c r="R43" i="4"/>
  <c r="R41" i="4"/>
  <c r="R40" i="4"/>
  <c r="R37" i="4"/>
  <c r="R35" i="4"/>
  <c r="R34" i="4"/>
  <c r="R33" i="4"/>
  <c r="R32" i="4"/>
  <c r="R31" i="4"/>
  <c r="R30" i="4"/>
  <c r="S30" i="4" s="1"/>
  <c r="E30" i="13" s="1"/>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D11"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C43" i="11" s="1"/>
  <c r="B42" i="11"/>
  <c r="B43" i="11" s="1"/>
  <c r="B44" i="11"/>
  <c r="C44" i="11"/>
  <c r="B46" i="11"/>
  <c r="C46" i="11"/>
  <c r="B47" i="11"/>
  <c r="C47" i="11"/>
  <c r="C55" i="11" s="1"/>
  <c r="B48" i="11"/>
  <c r="B49" i="11"/>
  <c r="D49" i="11" s="1"/>
  <c r="B50" i="11"/>
  <c r="B51" i="11"/>
  <c r="D51" i="11"/>
  <c r="B52" i="11"/>
  <c r="B53" i="11"/>
  <c r="C48" i="11"/>
  <c r="C49" i="11"/>
  <c r="C50" i="11"/>
  <c r="C51" i="11"/>
  <c r="C52" i="11"/>
  <c r="C53" i="11"/>
  <c r="B57" i="11"/>
  <c r="C57" i="11"/>
  <c r="B58" i="11"/>
  <c r="C58" i="11"/>
  <c r="B59" i="11"/>
  <c r="D59" i="11" s="1"/>
  <c r="C59" i="11"/>
  <c r="B60" i="11"/>
  <c r="C60" i="11"/>
  <c r="B61" i="11"/>
  <c r="C61" i="11"/>
  <c r="B62" i="11"/>
  <c r="D62" i="11" s="1"/>
  <c r="C62" i="11"/>
  <c r="B66" i="11"/>
  <c r="C66" i="11"/>
  <c r="B73" i="11"/>
  <c r="C73" i="11"/>
  <c r="B74" i="11"/>
  <c r="C74" i="11"/>
  <c r="B75" i="11"/>
  <c r="C75" i="11"/>
  <c r="B76" i="11"/>
  <c r="D76" i="11" s="1"/>
  <c r="C76" i="11"/>
  <c r="B77" i="11"/>
  <c r="C77" i="11"/>
  <c r="B84" i="11"/>
  <c r="C84" i="11"/>
  <c r="B100" i="11"/>
  <c r="C100" i="11"/>
  <c r="D100" i="11" s="1"/>
  <c r="A4" i="8"/>
  <c r="D4" i="8"/>
  <c r="I4" i="8" s="1"/>
  <c r="J4" i="8" s="1"/>
  <c r="A5" i="8"/>
  <c r="D5" i="8"/>
  <c r="I5" i="8" s="1"/>
  <c r="J5" i="8" s="1"/>
  <c r="A6" i="8"/>
  <c r="D6" i="8"/>
  <c r="I6" i="8" s="1"/>
  <c r="A7" i="8"/>
  <c r="D7" i="8"/>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H11" i="13"/>
  <c r="T26" i="4"/>
  <c r="H26" i="13"/>
  <c r="T38" i="4"/>
  <c r="H38" i="13"/>
  <c r="T42" i="4"/>
  <c r="H42" i="13"/>
  <c r="T54" i="4"/>
  <c r="H54" i="13"/>
  <c r="T70" i="4"/>
  <c r="H70" i="13"/>
  <c r="T96" i="4"/>
  <c r="H96" i="13"/>
  <c r="C11" i="4"/>
  <c r="C12" i="4" s="1"/>
  <c r="B12" i="13" s="1"/>
  <c r="B26" i="13"/>
  <c r="C38" i="4"/>
  <c r="B38" i="13" s="1"/>
  <c r="C54" i="4"/>
  <c r="B54" i="4" s="1"/>
  <c r="C62" i="4"/>
  <c r="B62" i="13" s="1"/>
  <c r="C77" i="4"/>
  <c r="B77" i="13" s="1"/>
  <c r="C96" i="4"/>
  <c r="B96" i="13" s="1"/>
  <c r="D8" i="4"/>
  <c r="D11" i="4"/>
  <c r="D26" i="4"/>
  <c r="D38" i="4"/>
  <c r="D42" i="4"/>
  <c r="D54" i="4"/>
  <c r="D62" i="4"/>
  <c r="D77" i="4"/>
  <c r="D96" i="4"/>
  <c r="D104" i="4"/>
  <c r="E26" i="13"/>
  <c r="S42" i="4"/>
  <c r="E42" i="13"/>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50" i="11"/>
  <c r="I63" i="13"/>
  <c r="I97" i="13"/>
  <c r="I105" i="13"/>
  <c r="I107" i="13"/>
  <c r="D54" i="11"/>
  <c r="D53" i="11"/>
  <c r="J63" i="13"/>
  <c r="J97" i="13"/>
  <c r="J105" i="13"/>
  <c r="J107" i="13"/>
  <c r="L12" i="4"/>
  <c r="D48" i="11"/>
  <c r="D5" i="11"/>
  <c r="D80" i="11"/>
  <c r="D52" i="11"/>
  <c r="I12" i="4"/>
  <c r="G12" i="4"/>
  <c r="D46" i="11"/>
  <c r="L63" i="4"/>
  <c r="L97" i="4"/>
  <c r="Q12" i="4"/>
  <c r="O63" i="4"/>
  <c r="O97" i="4"/>
  <c r="O105" i="4"/>
  <c r="D18" i="11"/>
  <c r="B8" i="4"/>
  <c r="N187" i="27" s="1"/>
  <c r="N193" i="27" s="1"/>
  <c r="D10" i="11"/>
  <c r="D61" i="11"/>
  <c r="D57" i="11"/>
  <c r="D20" i="11"/>
  <c r="D8" i="11"/>
  <c r="D85" i="11"/>
  <c r="D102" i="11"/>
  <c r="D94" i="11"/>
  <c r="K12" i="4"/>
  <c r="C12" i="13"/>
  <c r="D63" i="4"/>
  <c r="D97" i="4"/>
  <c r="D105" i="4"/>
  <c r="B78" i="11"/>
  <c r="D78" i="11" s="1"/>
  <c r="D7" i="11"/>
  <c r="J12" i="4"/>
  <c r="D22" i="11"/>
  <c r="O12" i="4"/>
  <c r="I63" i="4"/>
  <c r="I97" i="4" s="1"/>
  <c r="I105" i="4" s="1"/>
  <c r="D95" i="11"/>
  <c r="D25" i="11"/>
  <c r="B11" i="13"/>
  <c r="D12" i="4"/>
  <c r="H12" i="4"/>
  <c r="C82" i="11"/>
  <c r="B9" i="11"/>
  <c r="C39" i="11"/>
  <c r="D23" i="11"/>
  <c r="D19" i="11"/>
  <c r="D89" i="11"/>
  <c r="D73" i="11"/>
  <c r="D44" i="11"/>
  <c r="D35" i="11"/>
  <c r="D31" i="11"/>
  <c r="D32" i="11"/>
  <c r="D15" i="11"/>
  <c r="D14" i="11"/>
  <c r="Q63" i="4"/>
  <c r="Q97" i="4"/>
  <c r="Q105" i="4"/>
  <c r="D87" i="11"/>
  <c r="N63" i="4"/>
  <c r="N97" i="4"/>
  <c r="N105" i="4"/>
  <c r="N12" i="4"/>
  <c r="H63" i="4"/>
  <c r="H97" i="4" s="1"/>
  <c r="H105" i="4" s="1"/>
  <c r="F12" i="4"/>
  <c r="D60" i="11"/>
  <c r="M12" i="4"/>
  <c r="R8" i="4"/>
  <c r="D84" i="11"/>
  <c r="D74" i="11"/>
  <c r="D38" i="11"/>
  <c r="R42" i="4"/>
  <c r="P63" i="4"/>
  <c r="P97" i="4"/>
  <c r="P105" i="4"/>
  <c r="B38" i="4"/>
  <c r="C63" i="11"/>
  <c r="C9" i="11"/>
  <c r="D9" i="11" s="1"/>
  <c r="D12" i="13"/>
  <c r="D58" i="11"/>
  <c r="D24" i="11"/>
  <c r="D101" i="11"/>
  <c r="D90" i="11"/>
  <c r="D66" i="11"/>
  <c r="C63" i="13"/>
  <c r="C97" i="13"/>
  <c r="C105" i="13"/>
  <c r="D75" i="11"/>
  <c r="B71" i="11"/>
  <c r="D28" i="11"/>
  <c r="D103" i="11"/>
  <c r="C78" i="11"/>
  <c r="D21" i="11"/>
  <c r="D16" i="11"/>
  <c r="R26" i="4"/>
  <c r="D86" i="11"/>
  <c r="B55" i="11"/>
  <c r="F63" i="13"/>
  <c r="F97" i="13"/>
  <c r="F105" i="13"/>
  <c r="F107" i="13"/>
  <c r="AD199" i="20"/>
  <c r="B42" i="4"/>
  <c r="D77" i="11"/>
  <c r="D47" i="11"/>
  <c r="M63" i="4"/>
  <c r="M97" i="4" s="1"/>
  <c r="M105" i="4" s="1"/>
  <c r="D91" i="11"/>
  <c r="J63" i="4"/>
  <c r="J97" i="4" s="1"/>
  <c r="J105" i="4" s="1"/>
  <c r="D41" i="11"/>
  <c r="K63" i="4"/>
  <c r="K97" i="4" s="1"/>
  <c r="K105" i="4" s="1"/>
  <c r="B105" i="11"/>
  <c r="D104" i="11"/>
  <c r="E12" i="4"/>
  <c r="B96" i="4"/>
  <c r="T63" i="4"/>
  <c r="T97" i="4"/>
  <c r="H63" i="13"/>
  <c r="T105" i="4"/>
  <c r="H97" i="13"/>
  <c r="D96" i="11"/>
  <c r="T107" i="4"/>
  <c r="H105" i="13"/>
  <c r="H107" i="13"/>
  <c r="AD11" i="15"/>
  <c r="AH718" i="3" l="1"/>
  <c r="AH724" i="3"/>
  <c r="AH722" i="3"/>
  <c r="J8" i="8"/>
  <c r="AH720" i="3"/>
  <c r="J6" i="8"/>
  <c r="G63" i="13"/>
  <c r="G97" i="13" s="1"/>
  <c r="G105" i="13" s="1"/>
  <c r="G107" i="13" s="1"/>
  <c r="C105" i="11"/>
  <c r="R11" i="4"/>
  <c r="R12" i="4" s="1"/>
  <c r="B12" i="11"/>
  <c r="B13" i="11"/>
  <c r="B11" i="4"/>
  <c r="B12" i="4" s="1"/>
  <c r="D12" i="11"/>
  <c r="U53" i="7"/>
  <c r="S58" i="7"/>
  <c r="Q58" i="7"/>
  <c r="R96" i="4"/>
  <c r="B62" i="4"/>
  <c r="C71" i="11"/>
  <c r="D71" i="11" s="1"/>
  <c r="R70" i="4"/>
  <c r="G9" i="8"/>
  <c r="G40" i="8" s="1"/>
  <c r="J9" i="8"/>
  <c r="R38" i="4"/>
  <c r="S38" i="4"/>
  <c r="S63" i="4" s="1"/>
  <c r="S97" i="4" s="1"/>
  <c r="B82" i="11"/>
  <c r="D82" i="11" s="1"/>
  <c r="S81" i="4"/>
  <c r="E81" i="13" s="1"/>
  <c r="R81" i="4"/>
  <c r="B81" i="13"/>
  <c r="B104" i="13"/>
  <c r="R104" i="4"/>
  <c r="S99" i="4"/>
  <c r="E97" i="4"/>
  <c r="E105" i="4" s="1"/>
  <c r="R63" i="4"/>
  <c r="R97" i="4" s="1"/>
  <c r="D43" i="11"/>
  <c r="D42" i="11"/>
  <c r="D70" i="11"/>
  <c r="D105" i="11"/>
  <c r="B63" i="11"/>
  <c r="D63" i="11" s="1"/>
  <c r="B97" i="11"/>
  <c r="D55" i="11"/>
  <c r="B54" i="13"/>
  <c r="C97" i="11"/>
  <c r="D39" i="11"/>
  <c r="C13" i="11"/>
  <c r="D13" i="11" s="1"/>
  <c r="B63"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I15" i="7"/>
  <c r="E26" i="21"/>
  <c r="E23" i="21"/>
  <c r="F23" i="21" s="1"/>
  <c r="G23" i="21" s="1"/>
  <c r="AS349" i="20" l="1"/>
  <c r="W53" i="7"/>
  <c r="U58" i="7"/>
  <c r="E63" i="13"/>
  <c r="E38" i="13"/>
  <c r="R105" i="4"/>
  <c r="E99" i="13"/>
  <c r="S104" i="4"/>
  <c r="E104" i="13" s="1"/>
  <c r="E97" i="13"/>
  <c r="S105" i="4"/>
  <c r="B64" i="11"/>
  <c r="B98" i="11" s="1"/>
  <c r="B106" i="11" s="1"/>
  <c r="D97" i="11"/>
  <c r="C97" i="4"/>
  <c r="C105" i="4" s="1"/>
  <c r="AC455" i="3" s="1"/>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BV691"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EH637" i="3"/>
  <c r="DR657" i="3"/>
  <c r="EM632" i="3"/>
  <c r="EM635" i="3"/>
  <c r="EM643" i="3"/>
  <c r="E6" i="7"/>
  <c r="K15" i="7"/>
  <c r="I22" i="7"/>
  <c r="I35" i="7" s="1"/>
  <c r="E27" i="21"/>
  <c r="G22" i="21"/>
  <c r="D64" i="11" l="1"/>
  <c r="Y53" i="7"/>
  <c r="W58" i="7"/>
  <c r="O26" i="21"/>
  <c r="P26" i="21" s="1" a="1"/>
  <c r="P26" i="21" s="1"/>
  <c r="R26" i="21" s="1"/>
  <c r="S107" i="4"/>
  <c r="E105" i="13"/>
  <c r="B105" i="13"/>
  <c r="B105" i="4"/>
  <c r="AC454" i="3" s="1"/>
  <c r="F457" i="3" s="1"/>
  <c r="AG258" i="20"/>
  <c r="B97" i="13"/>
  <c r="B97" i="4"/>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Y58" i="7" l="1"/>
  <c r="AA53" i="7"/>
  <c r="N183" i="27"/>
  <c r="N194" i="27" s="1"/>
  <c r="AB255" i="20"/>
  <c r="AG257" i="20" s="1"/>
  <c r="AG259" i="20" s="1"/>
  <c r="AK262" i="20" s="1"/>
  <c r="T801" i="20" s="1"/>
  <c r="AF801" i="20" s="1"/>
  <c r="AC456" i="3"/>
  <c r="AF540" i="20"/>
  <c r="E107" i="13"/>
  <c r="AB47" i="15"/>
  <c r="AB49" i="15" s="1"/>
  <c r="AB54" i="15" s="1"/>
  <c r="AB55"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53" i="7" l="1"/>
  <c r="AA58" i="7"/>
  <c r="N184" i="27"/>
  <c r="T11" i="15"/>
  <c r="T23" i="15" s="1"/>
  <c r="T26" i="15" s="1"/>
  <c r="T28" i="15" s="1"/>
  <c r="Y11" i="15"/>
  <c r="Y23" i="15" s="1"/>
  <c r="Y26" i="15" s="1"/>
  <c r="Y28" i="15" s="1"/>
  <c r="AJ1048" i="3"/>
  <c r="AP542" i="20" s="1"/>
  <c r="AJ1044" i="3"/>
  <c r="AP541" i="20" s="1"/>
  <c r="B1059" i="3"/>
  <c r="AJ993" i="3"/>
  <c r="I13" i="21" s="1"/>
  <c r="AP539" i="20"/>
  <c r="K4" i="7"/>
  <c r="M4" i="7" s="1"/>
  <c r="E45" i="7"/>
  <c r="E48" i="7" s="1"/>
  <c r="G45" i="7"/>
  <c r="G49" i="7"/>
  <c r="K6" i="7"/>
  <c r="I7" i="7"/>
  <c r="I11" i="7" s="1"/>
  <c r="I37" i="7" s="1"/>
  <c r="G24" i="21"/>
  <c r="F27" i="21"/>
  <c r="G27" i="21"/>
  <c r="O22" i="7"/>
  <c r="O35" i="7" s="1"/>
  <c r="Q15" i="7"/>
  <c r="O9" i="7"/>
  <c r="Q8" i="7"/>
  <c r="AE53" i="7" l="1"/>
  <c r="AC58" i="7"/>
  <c r="AP543" i="20"/>
  <c r="Y64" i="15"/>
  <c r="Y68" i="15" s="1"/>
  <c r="T29" i="15"/>
  <c r="AJ1052" i="3"/>
  <c r="T24" i="15" s="1"/>
  <c r="Y3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G53" i="7" l="1"/>
  <c r="AG58" i="7" s="1"/>
  <c r="AE58" i="7"/>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<sst xmlns="http://schemas.openxmlformats.org/spreadsheetml/2006/main" count="5324" uniqueCount="2794">
  <si>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</si>
  <si>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</si>
  <si>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</si>
  <si>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</si>
  <si>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</si>
  <si>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</si>
  <si>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</si>
  <si>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</si>
  <si>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</si>
  <si>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</si>
  <si>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</si>
  <si>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</si>
  <si>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</si>
  <si>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</si>
  <si>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</si>
  <si>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</si>
  <si>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</si>
  <si>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</si>
  <si>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</si>
  <si>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</si>
  <si>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</si>
  <si>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</si>
  <si>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</si>
  <si>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</si>
  <si>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</si>
  <si>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</si>
  <si>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</si>
  <si>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</si>
  <si>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</si>
  <si>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</si>
  <si>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</si>
  <si>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</si>
  <si>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</si>
  <si>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</si>
  <si>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</si>
  <si>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</si>
  <si>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</si>
  <si>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</si>
  <si>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</si>
  <si>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</si>
  <si>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</si>
  <si>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</si>
  <si>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</si>
  <si>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</si>
  <si>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</si>
  <si>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</si>
  <si>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</si>
  <si>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</si>
  <si>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</si>
  <si>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</si>
  <si>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</si>
  <si>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</si>
  <si>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</si>
  <si>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</si>
  <si>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</si>
  <si>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</si>
  <si>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</si>
  <si>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</si>
  <si>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</si>
  <si>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</si>
  <si>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</si>
  <si>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</si>
  <si>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</si>
  <si>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</si>
  <si>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</si>
  <si>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</si>
  <si>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</si>
  <si>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</si>
  <si>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</si>
  <si>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</si>
  <si>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</si>
  <si>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</si>
  <si>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</si>
  <si>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</si>
  <si>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</si>
  <si>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</si>
  <si>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</si>
  <si>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</si>
  <si>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</si>
  <si>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</si>
  <si>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</si>
  <si>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</si>
  <si>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</si>
  <si>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</si>
  <si>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</si>
  <si>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</si>
  <si>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</si>
  <si>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</si>
  <si>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</si>
  <si>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</si>
  <si>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</si>
  <si>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</si>
  <si>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</si>
  <si>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</si>
  <si>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</si>
  <si>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</si>
  <si>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</si>
  <si>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</si>
  <si>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</si>
  <si>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</si>
  <si>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</si>
  <si>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</si>
  <si>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</si>
  <si>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</si>
  <si>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</si>
  <si>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</si>
  <si>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</si>
  <si>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</si>
  <si>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</si>
  <si>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</si>
  <si>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</si>
  <si>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</si>
  <si>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</si>
  <si>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</si>
  <si>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</si>
  <si>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</si>
  <si>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</si>
  <si>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</si>
  <si>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</si>
  <si>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</si>
  <si>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</si>
  <si>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</si>
  <si>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</si>
  <si>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</si>
  <si>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</si>
  <si>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</si>
  <si>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</si>
  <si>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</si>
  <si>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</si>
  <si>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</si>
  <si>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</si>
  <si>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</si>
  <si>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</si>
  <si>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</si>
  <si>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</si>
  <si>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</si>
  <si>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</si>
  <si>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</si>
  <si>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</si>
  <si>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</si>
  <si>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</si>
  <si>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</si>
  <si>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</si>
  <si>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</si>
  <si>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</si>
  <si>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</si>
  <si>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</si>
  <si>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</si>
  <si>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</si>
  <si>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</si>
  <si>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</si>
  <si>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</si>
  <si>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</si>
  <si>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</si>
  <si>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</si>
  <si>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</si>
  <si>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</si>
  <si>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</si>
  <si>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</si>
  <si>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</si>
  <si>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</si>
  <si>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</si>
  <si>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</si>
  <si>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</si>
  <si>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</si>
  <si>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</si>
  <si>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</si>
  <si>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</si>
  <si>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</si>
  <si>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</si>
  <si>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</si>
  <si>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</si>
  <si>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</si>
  <si>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</si>
  <si>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</si>
  <si>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</si>
  <si>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</si>
  <si>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</si>
  <si>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</si>
  <si>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</si>
  <si>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</si>
  <si>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</si>
  <si>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</si>
  <si>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</si>
  <si>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</si>
  <si>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</si>
  <si>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</si>
  <si>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</si>
  <si>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</si>
  <si>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</si>
  <si>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</si>
  <si>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</si>
  <si>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</si>
  <si>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</si>
  <si>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</si>
  <si>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</si>
  <si>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</si>
  <si>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</si>
  <si>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</si>
  <si>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</si>
  <si>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</si>
  <si>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</si>
  <si>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</si>
  <si>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</si>
  <si>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</si>
  <si>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</si>
  <si>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</si>
  <si>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</si>
  <si>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</si>
  <si>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</si>
  <si>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</si>
  <si>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</si>
  <si>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</si>
  <si>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</si>
  <si>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</si>
  <si>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</si>
  <si>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</si>
  <si>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</si>
  <si>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</si>
  <si>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</si>
  <si>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</si>
  <si>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</si>
  <si>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</si>
  <si>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</si>
  <si>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</si>
  <si>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</si>
  <si>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</si>
  <si>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</si>
  <si>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</si>
  <si>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</si>
  <si>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</si>
  <si>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</si>
  <si>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</si>
  <si>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</si>
  <si>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</si>
  <si>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</si>
  <si>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</si>
  <si>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</si>
  <si>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</si>
  <si>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</si>
  <si>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</si>
  <si>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</si>
  <si>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</si>
  <si>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</si>
  <si>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</si>
  <si>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</si>
  <si>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</si>
  <si>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</si>
  <si>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</si>
  <si>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</si>
  <si>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</si>
  <si>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</si>
  <si>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</si>
  <si>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</si>
  <si>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</si>
  <si>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</si>
  <si>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</si>
  <si>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</si>
  <si>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</si>
  <si>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</si>
  <si>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</si>
  <si>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</si>
  <si>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</si>
  <si>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</si>
  <si>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</si>
  <si>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</si>
  <si>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</si>
  <si>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</si>
  <si>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</si>
  <si>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</si>
  <si>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</si>
  <si>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</si>
  <si>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</si>
  <si>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</si>
  <si>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</si>
  <si>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</si>
  <si>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</si>
  <si>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</si>
  <si>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</si>
  <si>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</si>
  <si>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</si>
  <si>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</si>
  <si>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</si>
  <si>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</si>
  <si>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</si>
  <si>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</si>
  <si>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</si>
  <si>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</si>
  <si>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</si>
  <si>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</si>
  <si>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</si>
  <si>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</si>
  <si>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</si>
  <si>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</si>
  <si>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</si>
  <si>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</si>
  <si>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</si>
  <si>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</si>
  <si>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</si>
  <si>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</si>
  <si>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</si>
  <si>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</si>
  <si>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</si>
  <si>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</si>
  <si>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</si>
  <si>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</si>
  <si>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</si>
  <si>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</si>
  <si>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</si>
  <si>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</si>
  <si>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</si>
  <si>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</si>
  <si>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</si>
  <si>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</si>
  <si>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</si>
  <si>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</si>
  <si>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</si>
  <si>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</si>
  <si>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</si>
  <si>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</si>
  <si>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</si>
  <si>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</si>
  <si>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</si>
  <si>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</si>
  <si>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</si>
  <si>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</si>
  <si>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</si>
  <si>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</si>
  <si>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</si>
  <si>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</si>
  <si>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</si>
  <si>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</si>
  <si>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</si>
  <si>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</si>
  <si>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</si>
  <si>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</si>
  <si>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</si>
  <si>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</si>
  <si>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</si>
  <si>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</si>
  <si>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</si>
  <si>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</si>
  <si>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</si>
  <si>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</si>
  <si>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</si>
  <si>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</si>
  <si>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</si>
  <si>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</si>
  <si>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</si>
  <si>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</si>
  <si>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</si>
  <si>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</si>
  <si>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</si>
  <si>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</si>
  <si>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</si>
  <si>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</si>
  <si>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</si>
  <si>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</si>
  <si>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</si>
  <si>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</si>
  <si>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</si>
  <si>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</si>
  <si>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</si>
  <si>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</si>
  <si>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</si>
  <si>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</si>
  <si>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</si>
  <si>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</si>
  <si>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</si>
  <si>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</si>
  <si>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</si>
  <si>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</si>
  <si>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</si>
  <si>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</si>
  <si>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</si>
  <si>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</si>
  <si>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</si>
  <si>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</si>
  <si>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</si>
  <si>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</si>
  <si>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</si>
  <si>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</si>
  <si>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</si>
  <si>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</si>
  <si>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</si>
  <si>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</si>
  <si>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</si>
  <si>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</si>
  <si>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</si>
  <si>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</si>
  <si>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</si>
  <si>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</si>
  <si>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</si>
  <si>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</si>
  <si>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</si>
  <si>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</si>
  <si>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</si>
  <si>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</si>
  <si>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</si>
  <si>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</si>
  <si>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</si>
  <si>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</si>
  <si>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</si>
  <si>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</si>
  <si>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</si>
  <si>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</si>
  <si>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</si>
  <si>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</si>
  <si>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</si>
  <si>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</si>
  <si>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</si>
  <si>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</si>
  <si>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</si>
  <si>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</si>
  <si>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</si>
  <si>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</si>
  <si>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</si>
  <si>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</si>
  <si>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</si>
  <si>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</si>
  <si>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</si>
  <si>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</si>
  <si>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</si>
  <si>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</si>
  <si>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</si>
  <si>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</si>
  <si>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</si>
  <si>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</si>
  <si>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</si>
  <si>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</si>
  <si>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</si>
  <si>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</si>
  <si>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</si>
  <si>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</si>
  <si>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</si>
  <si>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</si>
  <si>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</si>
  <si>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</si>
  <si>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</si>
  <si>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</si>
  <si>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</si>
  <si>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</si>
  <si>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</si>
  <si>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</si>
  <si>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</si>
  <si>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</si>
  <si>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</si>
  <si>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</si>
  <si>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</si>
  <si>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</si>
  <si>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</si>
  <si>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</si>
  <si>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</si>
  <si>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</si>
  <si>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</si>
  <si>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</si>
  <si>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</si>
  <si>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</si>
  <si>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</si>
  <si>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</si>
  <si>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</si>
  <si>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</si>
  <si>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</si>
  <si>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</si>
  <si>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</si>
  <si>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</si>
  <si>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</si>
  <si>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</si>
  <si>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</si>
  <si>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</si>
  <si>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</si>
  <si>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</si>
  <si>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</si>
  <si>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</si>
  <si>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</si>
  <si>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</si>
  <si>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</si>
  <si>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</si>
  <si>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</si>
  <si>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</si>
  <si>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</si>
  <si>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</si>
  <si>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</si>
  <si>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</si>
  <si>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</si>
  <si>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</si>
  <si>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</si>
  <si>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</si>
  <si>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</si>
  <si>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</si>
  <si>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</si>
  <si>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</si>
  <si>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</si>
  <si>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</si>
  <si>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</si>
  <si>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</si>
  <si>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</si>
  <si>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</si>
  <si>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</si>
  <si>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</si>
  <si>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</si>
  <si>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</si>
  <si>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</si>
  <si>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</si>
  <si>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</si>
  <si>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</si>
  <si>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</si>
  <si>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</si>
  <si>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</si>
  <si>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</si>
  <si>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</si>
  <si>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</si>
  <si>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</si>
  <si>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</si>
  <si>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</si>
  <si>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</si>
  <si>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</si>
  <si>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</si>
  <si>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</si>
  <si>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</si>
  <si>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</si>
  <si>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</si>
  <si>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</si>
  <si>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</si>
  <si>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</si>
  <si>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</si>
  <si>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</si>
  <si>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</si>
  <si>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</si>
  <si>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</si>
  <si>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</si>
  <si>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</si>
  <si>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</si>
  <si>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</si>
  <si>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</si>
  <si>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</si>
  <si>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</si>
  <si>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</si>
  <si>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</si>
  <si>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</si>
  <si>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</si>
  <si>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</si>
  <si>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</si>
  <si>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</si>
  <si>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</si>
  <si>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</si>
  <si>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</si>
  <si>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</si>
  <si>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</si>
  <si>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</si>
  <si>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</si>
  <si>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</si>
  <si>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</si>
  <si>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</si>
  <si>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</si>
  <si>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</si>
  <si>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</si>
  <si>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</si>
  <si>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</si>
  <si>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</si>
  <si>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</si>
  <si>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</si>
  <si>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</si>
  <si>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</si>
  <si>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</si>
  <si>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</si>
  <si>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</si>
  <si>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</si>
  <si>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</si>
  <si>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</si>
  <si>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</si>
  <si>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</si>
  <si>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</si>
  <si>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</si>
  <si>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</si>
  <si>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</si>
  <si>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</si>
  <si>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</si>
  <si>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</si>
  <si>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</si>
  <si>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</si>
  <si>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</si>
  <si>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</si>
  <si>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</si>
  <si>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</si>
  <si>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</si>
  <si>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</si>
  <si>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</si>
  <si>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</si>
  <si>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</si>
  <si>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</si>
  <si>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</si>
  <si>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</si>
  <si>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</si>
  <si>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</si>
  <si>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</si>
  <si>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</si>
  <si>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</si>
  <si>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</si>
  <si>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</si>
  <si>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</si>
  <si>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</si>
  <si>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</si>
  <si>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</si>
  <si>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</si>
  <si>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</si>
  <si>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</si>
  <si>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</si>
  <si>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</si>
  <si>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</si>
  <si>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</si>
  <si>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</si>
  <si>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</si>
  <si>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</si>
  <si>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</si>
  <si>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</si>
  <si>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</si>
  <si>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</si>
  <si>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</si>
  <si>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</si>
  <si>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</si>
  <si>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</si>
  <si>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</si>
  <si>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</si>
  <si>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</si>
  <si>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</si>
  <si>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</si>
  <si>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</si>
  <si>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</si>
  <si>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</si>
  <si>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</si>
  <si>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</si>
  <si>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</si>
  <si>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</si>
  <si>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</si>
  <si>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</si>
  <si>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</si>
  <si>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</si>
  <si>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</si>
  <si>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</si>
  <si>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</si>
  <si>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</si>
  <si>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</si>
  <si>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</si>
  <si>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</si>
  <si>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</si>
  <si>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</si>
  <si>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</si>
  <si>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</si>
  <si>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</si>
  <si>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</si>
  <si>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</si>
  <si>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</si>
  <si>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</si>
  <si>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</si>
  <si>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</si>
  <si>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</si>
  <si>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</si>
  <si>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</si>
  <si>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</si>
  <si>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</si>
  <si>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</si>
  <si>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</si>
  <si>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</si>
  <si>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</si>
  <si>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</si>
  <si>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</si>
  <si>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</si>
  <si>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</si>
  <si>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</si>
  <si>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</si>
  <si>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</si>
  <si>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</si>
  <si>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</si>
  <si>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</si>
  <si>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</si>
  <si>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</si>
  <si>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</si>
  <si>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</si>
  <si>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</si>
  <si>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</si>
  <si>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</si>
  <si>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</si>
  <si>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</si>
  <si>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</si>
  <si>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</si>
  <si>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</si>
  <si>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</si>
  <si>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</si>
  <si>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</si>
  <si>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</si>
  <si>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</si>
  <si>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</si>
  <si>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</si>
  <si>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</si>
  <si>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</si>
  <si>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</si>
  <si>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</si>
  <si>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</si>
  <si>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</si>
  <si>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</si>
  <si>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</si>
  <si>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</si>
  <si>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</si>
  <si>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</si>
  <si>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</si>
  <si>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</si>
  <si>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</si>
  <si>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</si>
  <si>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</si>
  <si>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</si>
  <si>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</si>
  <si>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</si>
  <si>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</si>
  <si>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</si>
  <si>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</si>
  <si>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</si>
  <si>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</si>
  <si>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</si>
  <si>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</si>
  <si>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</si>
  <si>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</si>
  <si>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</si>
  <si>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</si>
  <si>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</si>
  <si>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</si>
  <si>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</si>
  <si>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</si>
  <si>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</si>
  <si>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</si>
  <si>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</si>
  <si>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</si>
  <si>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</si>
  <si>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</si>
  <si>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</si>
  <si>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</si>
  <si>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</si>
  <si>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</si>
  <si>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</si>
  <si>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</si>
  <si>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</si>
  <si>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</si>
  <si>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</si>
  <si>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</si>
  <si>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</si>
  <si>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</si>
  <si>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</si>
  <si>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</si>
  <si>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</si>
  <si>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</si>
  <si>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</si>
  <si>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</si>
  <si>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</si>
  <si>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</si>
  <si>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</si>
  <si>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</si>
  <si>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</si>
  <si>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</si>
  <si>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</si>
  <si>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</si>
  <si>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</si>
  <si>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</si>
  <si>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</si>
  <si>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</si>
  <si>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</si>
  <si>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</si>
  <si>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</si>
  <si>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</si>
  <si>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</si>
  <si>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</si>
  <si>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</si>
  <si>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</si>
  <si>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</si>
  <si>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</si>
  <si>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</si>
  <si>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</si>
  <si>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</si>
  <si>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</si>
  <si>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</si>
  <si>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</si>
  <si>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</si>
  <si>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</si>
  <si>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</si>
  <si>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</si>
  <si>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</si>
  <si>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</si>
  <si>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</si>
  <si>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</si>
  <si>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</si>
  <si>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</si>
  <si>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</si>
  <si>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</si>
  <si>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</si>
  <si>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</si>
  <si>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</si>
  <si>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</si>
  <si>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</si>
  <si>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</si>
  <si>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</si>
  <si>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</si>
  <si>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</si>
  <si>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</si>
  <si>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</si>
  <si>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</si>
  <si>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</si>
  <si>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</si>
  <si>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</si>
  <si>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</si>
  <si>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</si>
  <si>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</si>
  <si>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</si>
  <si>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</si>
  <si>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</si>
  <si>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</si>
  <si>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</si>
  <si>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</si>
  <si>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</si>
  <si>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</si>
  <si>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</si>
  <si>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</si>
  <si>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</si>
  <si>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</si>
  <si>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</si>
  <si>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</si>
  <si>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</si>
  <si>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</si>
  <si>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</si>
  <si>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</si>
  <si>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</si>
  <si>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</si>
  <si>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</si>
  <si>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</si>
  <si>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</si>
  <si>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</si>
  <si>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</si>
  <si>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</si>
  <si>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</si>
  <si>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</si>
  <si>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</si>
  <si>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</si>
  <si>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</si>
  <si>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</si>
  <si>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</si>
  <si>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</si>
  <si>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</si>
  <si>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</si>
  <si>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</si>
  <si>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</si>
  <si>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</si>
  <si>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</si>
  <si>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</si>
  <si>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</si>
  <si>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</si>
  <si>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</si>
  <si>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</si>
  <si>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</si>
  <si>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</si>
  <si>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</si>
  <si>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</si>
  <si>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</si>
  <si>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</si>
  <si>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</si>
  <si>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</si>
  <si>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</si>
  <si>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</si>
  <si>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</si>
  <si>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</si>
  <si>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</si>
  <si>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</si>
  <si>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</si>
  <si>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</si>
  <si>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</si>
  <si>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</si>
  <si>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</si>
  <si>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</si>
  <si>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</si>
  <si>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</si>
  <si>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</si>
  <si>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</si>
  <si>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</si>
  <si>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</si>
  <si>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</si>
  <si>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</si>
  <si>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</si>
  <si>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</si>
  <si>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</si>
  <si>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</si>
  <si>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</si>
  <si>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</si>
  <si>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</si>
  <si>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</si>
  <si>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</si>
  <si>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</si>
  <si>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</si>
  <si>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</si>
  <si>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</si>
  <si>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</si>
  <si>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</si>
  <si>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</si>
  <si>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</si>
  <si>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</si>
  <si>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</si>
  <si>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</si>
  <si>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</si>
  <si>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</si>
  <si>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</si>
  <si>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</si>
  <si>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</si>
  <si>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</si>
  <si>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</si>
  <si>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</si>
  <si>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</si>
  <si>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</si>
  <si>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</si>
  <si>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</si>
  <si>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</si>
  <si>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</si>
  <si>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</si>
  <si>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</si>
  <si>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</si>
  <si>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</si>
  <si>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</si>
  <si>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</si>
  <si>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</si>
  <si>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</si>
  <si>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</si>
  <si>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</si>
  <si>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</si>
  <si>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</si>
  <si>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</si>
  <si>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</si>
  <si>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</si>
  <si>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</si>
  <si>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</si>
  <si>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</si>
  <si>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</si>
  <si>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</si>
  <si>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</si>
  <si>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</si>
  <si>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</si>
  <si>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</si>
  <si>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</si>
  <si>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</si>
  <si>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</si>
  <si>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</si>
  <si>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</si>
  <si>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</si>
  <si>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</si>
  <si>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</si>
  <si>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</si>
  <si>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</si>
  <si>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</si>
  <si>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</si>
  <si>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</si>
  <si>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</si>
  <si>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</si>
  <si>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</si>
  <si>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</si>
  <si>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</si>
  <si>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</si>
  <si>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</si>
  <si>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</si>
  <si>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</si>
  <si>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</si>
  <si>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</si>
  <si>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</si>
  <si>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</si>
  <si>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</si>
  <si>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</si>
  <si>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</si>
  <si>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</si>
  <si>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</si>
  <si>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</si>
  <si>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</si>
  <si>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</si>
  <si>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</si>
  <si>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</si>
  <si>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</si>
  <si>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</si>
  <si>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</si>
  <si>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</si>
  <si>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</si>
  <si>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</si>
  <si>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</si>
  <si>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</si>
  <si>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</si>
  <si>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</si>
  <si>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</si>
  <si>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</si>
  <si>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</si>
  <si>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</si>
  <si>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</si>
  <si>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</si>
  <si>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</si>
  <si>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</si>
  <si>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</si>
  <si>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</si>
  <si>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</si>
  <si>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</si>
  <si>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</si>
  <si>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</si>
  <si>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</si>
  <si>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</si>
  <si>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</si>
  <si>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</si>
  <si>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</si>
  <si>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</si>
  <si>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</si>
  <si>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</si>
  <si>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</si>
  <si>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</si>
  <si>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</si>
  <si>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</si>
  <si>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</si>
  <si>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</si>
  <si>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</si>
  <si>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</si>
  <si>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</si>
  <si>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</si>
  <si>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</si>
  <si>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</si>
  <si>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</si>
  <si>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</si>
  <si>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</si>
  <si>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</si>
  <si>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</si>
  <si>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</si>
  <si>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</si>
  <si>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</si>
  <si>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</si>
  <si>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</si>
  <si>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</si>
  <si>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</si>
  <si>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</si>
  <si>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</si>
  <si>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</si>
  <si>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</si>
  <si>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</si>
  <si>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</si>
  <si>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</si>
  <si>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</si>
  <si>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</si>
  <si>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</si>
  <si>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</si>
  <si>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</si>
  <si>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</si>
  <si>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</si>
  <si>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</si>
  <si>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</si>
  <si>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</si>
  <si>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</si>
  <si>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</si>
  <si>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</si>
  <si>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</si>
  <si>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</si>
  <si>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</si>
  <si>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</si>
  <si>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</si>
  <si>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</si>
  <si>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</si>
  <si>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</si>
  <si>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</si>
  <si>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</si>
  <si>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</si>
  <si>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</si>
  <si>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</si>
  <si>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</si>
  <si>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</si>
  <si>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</si>
  <si>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</si>
  <si>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</si>
  <si>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</si>
  <si>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</si>
  <si>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</si>
  <si>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</si>
  <si>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</si>
  <si>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</si>
  <si>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</si>
  <si>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</si>
  <si>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</si>
  <si>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</si>
  <si>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</si>
  <si>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</si>
  <si>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</si>
  <si>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</si>
  <si>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</si>
  <si>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</si>
  <si>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</si>
  <si>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</si>
  <si>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</si>
  <si>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</si>
  <si>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</si>
  <si>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</si>
  <si>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</si>
  <si>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</si>
  <si>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</si>
  <si>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</si>
  <si>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</si>
  <si>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</si>
  <si>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</si>
  <si>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</si>
  <si>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</si>
  <si>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</si>
  <si>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</si>
  <si>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</si>
  <si>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</si>
  <si>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</si>
  <si>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</si>
  <si>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</si>
  <si>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</si>
  <si>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</si>
  <si>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</si>
  <si>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</si>
  <si>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</si>
  <si>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</si>
  <si>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</si>
  <si>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</si>
  <si>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</si>
  <si>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</si>
  <si>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</si>
  <si>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</si>
  <si>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</si>
  <si>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</si>
  <si>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</si>
  <si>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</si>
  <si>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</si>
  <si>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</si>
  <si>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</si>
  <si>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</si>
  <si>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</si>
  <si>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</si>
  <si>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</si>
  <si>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</si>
  <si>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</si>
  <si>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</si>
  <si>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</si>
  <si>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</si>
  <si>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</si>
  <si>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</si>
  <si>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</si>
  <si>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</si>
  <si>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</si>
  <si>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</si>
  <si>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</si>
  <si>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</si>
  <si>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</si>
  <si>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</si>
  <si>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</si>
  <si>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</si>
  <si>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</si>
  <si>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</si>
  <si>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</si>
  <si>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</si>
  <si>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</si>
  <si>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</si>
  <si>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</si>
  <si>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</si>
  <si>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</si>
  <si>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</si>
  <si>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</si>
  <si>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</si>
  <si>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</si>
  <si>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</si>
  <si>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</si>
  <si>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</si>
  <si>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</si>
  <si>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</si>
  <si>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</si>
  <si>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</si>
  <si>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</si>
  <si>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</si>
  <si>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</si>
  <si>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</si>
  <si>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</si>
  <si>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</si>
  <si>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</si>
  <si>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</si>
  <si>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</si>
  <si>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</si>
  <si>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</si>
  <si>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</si>
  <si>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</si>
  <si>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</si>
  <si>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</si>
  <si>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</si>
  <si>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</si>
  <si>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</si>
  <si>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</si>
  <si>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</si>
  <si>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</si>
  <si>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</si>
  <si>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</si>
  <si>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</si>
  <si>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</si>
  <si>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</si>
  <si>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</si>
  <si>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</si>
  <si>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</si>
  <si>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</si>
  <si>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</si>
  <si>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</si>
  <si>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</si>
  <si>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</si>
  <si>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</si>
  <si>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</si>
  <si>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</si>
  <si>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</si>
  <si>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</si>
  <si>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</si>
  <si>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</si>
  <si>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</si>
  <si>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</si>
  <si>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</si>
  <si>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</si>
  <si>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</si>
  <si>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</si>
  <si>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</si>
  <si>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</si>
  <si>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</si>
  <si>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</si>
  <si>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</si>
  <si>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</si>
  <si>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</si>
  <si>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</si>
  <si>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</si>
  <si>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</si>
  <si>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</si>
  <si>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</si>
  <si>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</si>
  <si>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</si>
  <si>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</si>
  <si>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</si>
  <si>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</si>
  <si>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</si>
  <si>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</si>
  <si>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</si>
  <si>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</si>
  <si>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</si>
  <si>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</si>
  <si>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</si>
  <si>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</si>
  <si>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</si>
  <si>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</si>
  <si>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</si>
  <si>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</si>
  <si>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</si>
  <si>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</si>
  <si>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</si>
  <si>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</si>
  <si>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</si>
  <si>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</si>
  <si>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</si>
  <si>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</si>
  <si>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</si>
  <si>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</si>
  <si>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</si>
  <si>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</si>
  <si>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</si>
  <si>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</si>
  <si>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</si>
  <si>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</si>
  <si>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</si>
  <si>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</si>
  <si>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</si>
  <si>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</si>
  <si>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</si>
  <si>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</si>
  <si>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</si>
  <si>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</si>
  <si>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</si>
  <si>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</si>
  <si>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</si>
  <si>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</si>
  <si>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</si>
  <si>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</si>
  <si>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</si>
  <si>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</si>
  <si>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</si>
  <si>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</si>
  <si>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</si>
  <si>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</si>
  <si>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</si>
  <si>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</si>
  <si>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</si>
  <si>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</si>
  <si>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</si>
  <si>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</si>
  <si>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</si>
  <si>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</si>
  <si>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</si>
  <si>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</si>
  <si>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</si>
  <si>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</si>
  <si>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</si>
  <si>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</si>
  <si>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</si>
  <si>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</si>
  <si>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</si>
  <si>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</si>
  <si>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</si>
  <si>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</si>
  <si>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</si>
  <si>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</si>
  <si>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</si>
  <si>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</si>
  <si>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</si>
  <si>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</si>
  <si>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</si>
  <si>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</si>
  <si>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</si>
  <si>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</si>
  <si>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</si>
  <si>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</si>
  <si>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</si>
  <si>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</si>
  <si>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</si>
  <si>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</si>
  <si>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</si>
  <si>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</si>
  <si>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</si>
  <si>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</si>
  <si>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</si>
  <si>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</si>
  <si>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</si>
  <si>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</si>
  <si>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</si>
  <si>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</si>
  <si>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</si>
  <si>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</si>
  <si>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</si>
  <si>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</si>
  <si>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</si>
  <si>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</si>
  <si>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</si>
  <si>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</si>
  <si>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</si>
  <si>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</si>
  <si>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</si>
  <si>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</si>
  <si>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</si>
  <si>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</si>
  <si>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</si>
  <si>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</si>
  <si>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</si>
  <si>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</si>
  <si>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</si>
  <si>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</si>
  <si>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</si>
  <si>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</si>
  <si>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</si>
  <si>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</si>
  <si>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</si>
  <si>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</si>
  <si>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</si>
  <si>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</si>
  <si>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</si>
  <si>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</si>
  <si>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</si>
  <si>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</si>
  <si>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</si>
  <si>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</si>
  <si>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</si>
  <si>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</si>
  <si>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</si>
  <si>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</si>
  <si>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</si>
  <si>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</si>
  <si>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</si>
  <si>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</si>
  <si>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</si>
  <si>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</si>
  <si>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</si>
  <si>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</si>
  <si>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</si>
  <si>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</si>
  <si>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</si>
  <si>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</si>
  <si>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</si>
  <si>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</si>
  <si>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</si>
  <si>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</si>
  <si>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</si>
  <si>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</si>
  <si>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</si>
  <si>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</si>
  <si>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</si>
  <si>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</si>
  <si>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</si>
  <si>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</si>
  <si>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</si>
  <si>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</si>
  <si>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</si>
  <si>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</si>
  <si>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</si>
  <si>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</si>
  <si>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</si>
  <si>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</si>
  <si>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</si>
  <si>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</si>
  <si>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</si>
  <si>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</si>
  <si>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</si>
  <si>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</si>
  <si>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</si>
  <si>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</si>
  <si>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</si>
  <si>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</si>
  <si>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</si>
  <si>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</si>
  <si>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</si>
  <si>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</si>
  <si>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</si>
  <si>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</si>
  <si>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</si>
  <si>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</si>
  <si>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</si>
  <si>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</si>
  <si>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</si>
  <si>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</si>
  <si>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</si>
  <si>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</si>
  <si>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</si>
  <si>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</si>
  <si>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</si>
  <si>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</si>
  <si>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</si>
  <si>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</si>
  <si>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</si>
  <si>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</si>
  <si>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</si>
  <si>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</si>
  <si>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</si>
  <si>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</si>
  <si>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</si>
  <si>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</si>
  <si>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</si>
  <si>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</si>
  <si>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</si>
  <si>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</si>
  <si>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</si>
  <si>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</si>
  <si>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</si>
  <si>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</si>
  <si>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</si>
  <si>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</si>
  <si>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</si>
  <si>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</si>
  <si>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</si>
  <si>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</si>
  <si>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</si>
  <si>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</si>
  <si>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</si>
  <si>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</si>
  <si>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</si>
  <si>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</si>
  <si>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</si>
  <si>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</si>
  <si>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</si>
  <si>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</si>
  <si>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</si>
  <si>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</si>
  <si>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</si>
  <si>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</si>
  <si>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</si>
  <si>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</si>
  <si>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</si>
  <si>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</si>
  <si>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</si>
  <si>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</si>
  <si>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</si>
  <si>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</si>
  <si>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</si>
  <si>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</si>
  <si>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</si>
  <si>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</si>
  <si>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</si>
  <si>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</si>
  <si>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</si>
  <si>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</si>
  <si>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</si>
  <si>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</si>
  <si>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</si>
  <si>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</si>
  <si>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</si>
  <si>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</si>
  <si>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</si>
  <si>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</si>
  <si>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</si>
  <si>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</si>
  <si>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</si>
  <si>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</si>
  <si>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</si>
  <si>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</si>
  <si>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</si>
  <si>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</si>
  <si>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</si>
  <si>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</si>
  <si>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</si>
  <si>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</si>
  <si>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</si>
  <si>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</si>
  <si>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</si>
  <si>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</si>
  <si>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</si>
  <si>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</si>
  <si>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</si>
  <si>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</si>
  <si>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</si>
  <si>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</si>
  <si>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</si>
  <si>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</si>
  <si>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</si>
  <si>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</si>
  <si>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</si>
  <si>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</si>
  <si>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</si>
  <si>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</si>
  <si>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</si>
  <si>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</si>
  <si>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</si>
  <si>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</si>
  <si>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</si>
  <si>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</si>
  <si>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</si>
  <si>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</si>
  <si>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</si>
  <si>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</si>
  <si>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</si>
  <si>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</si>
  <si>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</si>
  <si>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</si>
  <si>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</si>
  <si>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</si>
  <si>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</si>
  <si>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</si>
  <si>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</si>
  <si>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</si>
  <si>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</si>
  <si>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</si>
  <si>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</si>
  <si>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</si>
  <si>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</si>
  <si>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</si>
  <si>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</si>
  <si>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</si>
  <si>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</si>
  <si>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</si>
  <si>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</si>
  <si>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</si>
  <si>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</si>
  <si>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</si>
  <si>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</si>
  <si>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</si>
  <si>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</si>
  <si>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</si>
  <si>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</si>
  <si>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</si>
  <si>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</si>
  <si>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</si>
  <si>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</si>
  <si>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</si>
  <si>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</si>
  <si>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</si>
  <si>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</si>
  <si>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</si>
  <si>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</si>
  <si>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</si>
  <si>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</si>
  <si>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</si>
  <si>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</si>
  <si>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</si>
  <si>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</si>
  <si>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</si>
  <si>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</si>
  <si>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</si>
  <si>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</si>
  <si>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</si>
  <si>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</si>
  <si>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</si>
  <si>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</si>
  <si>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</si>
  <si>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</si>
  <si>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</si>
  <si>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</si>
  <si>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</si>
  <si>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</si>
  <si>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</si>
  <si>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</si>
  <si>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</si>
  <si>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</si>
  <si>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</si>
  <si>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</si>
  <si>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</si>
  <si>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</si>
  <si>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</si>
  <si>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</si>
  <si>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</si>
  <si>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</si>
  <si>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</si>
  <si>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</si>
  <si>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</si>
  <si>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</si>
  <si>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</si>
  <si>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</si>
  <si>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</si>
  <si>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</si>
  <si>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</si>
  <si>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</si>
  <si>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</si>
  <si>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</si>
  <si>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</si>
  <si>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</si>
  <si>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</si>
  <si>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</si>
  <si>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</si>
  <si>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</si>
  <si>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</si>
  <si>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</si>
  <si>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</si>
  <si>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</si>
  <si>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</si>
  <si>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</si>
  <si>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</si>
  <si>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</si>
  <si>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</si>
  <si>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</si>
  <si>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</si>
  <si>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</si>
  <si>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</si>
  <si>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</si>
  <si>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</si>
  <si>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</si>
  <si>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</si>
  <si>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</si>
  <si>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</si>
  <si>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</si>
  <si>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</si>
  <si>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</si>
  <si>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</si>
  <si>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</si>
  <si>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</si>
  <si>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</si>
  <si>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</si>
  <si>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</si>
  <si>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</si>
  <si>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</si>
  <si>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</si>
  <si>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</si>
  <si>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</si>
  <si>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</si>
  <si>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</si>
  <si>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</si>
  <si>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</si>
  <si>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</si>
  <si>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</si>
  <si>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</si>
  <si>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</si>
  <si>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</si>
  <si>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</si>
  <si>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</si>
  <si>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</si>
  <si>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</si>
  <si>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</si>
  <si>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</si>
  <si>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</si>
  <si>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</si>
  <si>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</si>
  <si>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</si>
  <si>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</si>
  <si>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</si>
  <si>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</si>
  <si>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</si>
  <si>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</si>
  <si>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</si>
  <si>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</si>
  <si>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</si>
  <si>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</si>
  <si>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</si>
  <si>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</si>
  <si>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</si>
  <si>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</si>
  <si>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</si>
  <si>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</si>
  <si>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</si>
  <si>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</si>
  <si>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</si>
  <si>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</si>
  <si>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</si>
  <si>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</si>
  <si>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</si>
  <si>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</si>
  <si>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</si>
  <si>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</si>
  <si>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</si>
  <si>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</si>
  <si>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</si>
  <si>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</si>
  <si>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</si>
  <si>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</si>
  <si>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</si>
  <si>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</si>
  <si>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</si>
  <si>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</si>
  <si>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</si>
  <si>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</si>
  <si>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</si>
  <si>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</si>
  <si>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</si>
  <si>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</si>
  <si>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</si>
  <si>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</si>
  <si>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</si>
  <si>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</si>
  <si>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</si>
  <si>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</si>
  <si>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</si>
  <si>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</si>
  <si>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</si>
  <si>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</si>
  <si>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</si>
  <si>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</si>
  <si>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</si>
  <si>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</si>
  <si>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</si>
  <si>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</si>
  <si>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</si>
  <si>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</si>
  <si>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</si>
  <si>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</si>
  <si>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</si>
  <si>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</si>
  <si>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</si>
  <si>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</si>
  <si>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</si>
  <si>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</si>
  <si>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</si>
  <si>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</si>
  <si>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</si>
  <si>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</si>
  <si>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</si>
  <si>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</si>
  <si>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</si>
  <si>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</si>
  <si>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</si>
  <si>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</si>
  <si>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</si>
  <si>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</si>
  <si>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</si>
  <si>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</si>
  <si>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</si>
  <si>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</si>
  <si>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</si>
  <si>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</si>
  <si>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</si>
  <si>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</si>
  <si>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</si>
  <si>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</si>
  <si>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</si>
  <si>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</si>
  <si>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</si>
  <si>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</si>
  <si>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</si>
  <si>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</si>
  <si>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</si>
  <si>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</si>
  <si>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</si>
  <si>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</si>
  <si>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</si>
  <si>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</si>
  <si>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</si>
  <si>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</si>
  <si>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</si>
  <si>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</si>
  <si>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</si>
  <si>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</si>
  <si>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</si>
  <si>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</si>
  <si>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</si>
  <si>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</si>
  <si>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</si>
  <si>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</si>
  <si>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</si>
  <si>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</si>
  <si>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</si>
  <si>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</si>
  <si>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</si>
  <si>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</si>
  <si>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</si>
  <si>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</si>
  <si>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</si>
  <si>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</si>
  <si>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</si>
  <si>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</si>
  <si>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</si>
  <si>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</si>
  <si>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</si>
  <si>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</si>
  <si>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</si>
  <si>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</si>
  <si>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</si>
  <si>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</si>
  <si>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</si>
  <si>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</si>
  <si>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</si>
  <si>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</si>
  <si>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</si>
  <si>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</si>
  <si>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</si>
  <si>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</si>
  <si>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</si>
  <si>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</si>
  <si>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</si>
  <si>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</si>
  <si>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</si>
  <si>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</si>
  <si>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</si>
  <si>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</si>
  <si>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</si>
  <si>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</si>
  <si>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</si>
  <si>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</si>
  <si>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</si>
  <si>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</si>
  <si>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</si>
  <si>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</si>
  <si>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</si>
  <si>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</si>
  <si>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</si>
  <si>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</si>
  <si>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</si>
  <si>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</si>
  <si>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</si>
  <si>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</si>
  <si>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</si>
  <si>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</si>
  <si>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</si>
  <si>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</si>
  <si>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</si>
  <si>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</si>
  <si>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</si>
  <si>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</si>
  <si>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</si>
  <si>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</si>
  <si>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</si>
  <si>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</si>
  <si>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</si>
  <si>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</si>
  <si>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</si>
  <si>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</si>
  <si>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</si>
  <si>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</si>
  <si>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</si>
  <si>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</si>
  <si>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</si>
  <si>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</si>
  <si>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</si>
  <si>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</si>
  <si>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</si>
  <si>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</si>
  <si>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</si>
  <si>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</si>
  <si>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</si>
  <si>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</si>
  <si>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</si>
  <si>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</si>
  <si>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</si>
  <si>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</si>
  <si>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</si>
  <si>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</si>
  <si>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</si>
  <si>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</si>
  <si>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</si>
  <si>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</si>
  <si>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</si>
  <si>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</si>
  <si>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</si>
  <si>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</si>
  <si>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</si>
  <si>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</si>
  <si>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</si>
  <si>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</si>
  <si>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</si>
  <si>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</si>
  <si>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</si>
  <si>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</si>
  <si>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</si>
  <si>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</si>
  <si>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</si>
  <si>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</si>
  <si>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</si>
  <si>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</si>
  <si>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</si>
  <si>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</si>
  <si>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</si>
  <si>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</si>
  <si>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</si>
  <si>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</si>
  <si>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</si>
  <si>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</si>
  <si>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</si>
  <si>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</si>
  <si>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</si>
  <si>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</si>
  <si>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</si>
  <si>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</si>
  <si>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</si>
  <si>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</si>
  <si>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</si>
  <si>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</si>
  <si>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</si>
  <si>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</si>
  <si>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</si>
  <si>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</si>
  <si>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</si>
  <si>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</si>
  <si>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</si>
  <si>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</si>
  <si>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</si>
  <si>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</si>
  <si>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</si>
  <si>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</si>
  <si>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</si>
  <si>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</si>
  <si>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</si>
  <si>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</si>
  <si>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</si>
  <si>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</si>
  <si>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</si>
  <si>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</si>
  <si>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</si>
  <si>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</si>
  <si>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</si>
  <si>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</si>
  <si>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</si>
  <si>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</si>
  <si>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</si>
  <si>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</si>
  <si>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</si>
  <si>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</si>
  <si>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</si>
  <si>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</si>
  <si>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</si>
  <si>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</si>
  <si>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</si>
  <si>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</si>
  <si>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</si>
  <si>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</si>
  <si>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</si>
  <si>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</si>
  <si>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</si>
  <si>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</si>
  <si>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</si>
  <si>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</si>
  <si>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</si>
  <si>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</si>
  <si>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</si>
  <si>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</si>
  <si>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</si>
  <si>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</si>
  <si>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</si>
  <si>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</si>
  <si>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</si>
  <si>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</si>
  <si>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</si>
  <si>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</si>
  <si>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</si>
  <si>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</si>
  <si>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</si>
  <si>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</si>
  <si>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</si>
  <si>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</si>
  <si>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</si>
  <si>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</si>
  <si>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</si>
  <si>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</si>
  <si>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</si>
  <si>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</si>
  <si>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</si>
  <si>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</si>
  <si>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</si>
  <si>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</si>
  <si>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</si>
  <si>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</si>
  <si>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</si>
  <si>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</si>
  <si>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</si>
  <si>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</si>
  <si>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</si>
  <si>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</si>
  <si>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</si>
  <si>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</si>
  <si>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</si>
  <si>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</si>
  <si>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</si>
  <si>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</si>
  <si>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</si>
  <si>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</si>
  <si>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</si>
  <si>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</si>
  <si>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</si>
  <si>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</si>
  <si>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</si>
  <si>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</si>
  <si>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</si>
  <si>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</si>
  <si>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</si>
  <si>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</si>
  <si>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</si>
  <si>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</si>
  <si>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</si>
  <si>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</si>
  <si>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</si>
  <si>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</si>
  <si>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</si>
  <si>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</si>
  <si>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</si>
  <si>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</si>
  <si>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</si>
  <si>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</si>
  <si>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</si>
  <si>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</si>
  <si>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</si>
  <si>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</si>
  <si>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</si>
  <si>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</si>
  <si>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</si>
  <si>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</si>
  <si>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</si>
  <si>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</si>
  <si>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</si>
  <si>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</si>
  <si>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</si>
  <si>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</si>
  <si>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</si>
  <si>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</si>
  <si>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</si>
  <si>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</si>
  <si>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</si>
  <si>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</si>
  <si>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</si>
  <si>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</si>
  <si>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</si>
  <si>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</si>
  <si>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</si>
  <si>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</si>
  <si>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</si>
  <si>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</si>
  <si>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</si>
  <si>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</si>
  <si>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</si>
  <si>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</si>
  <si>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</si>
  <si>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</si>
  <si>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</si>
  <si>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</si>
  <si>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</si>
  <si>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</si>
  <si>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</si>
  <si>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</si>
  <si>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</si>
  <si>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</si>
  <si>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</si>
  <si>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</si>
  <si>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</si>
  <si>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</si>
  <si>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</si>
  <si>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</si>
  <si>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</si>
  <si>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</si>
  <si>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</si>
  <si>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</si>
  <si>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</si>
  <si>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</si>
  <si>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</si>
  <si>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</si>
  <si>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</si>
  <si>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</si>
  <si>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</si>
  <si>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</si>
  <si>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</si>
  <si>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</si>
  <si>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</si>
  <si>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</si>
  <si>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</si>
  <si>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</si>
  <si>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</si>
  <si>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</si>
  <si>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</si>
  <si>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</si>
  <si>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</si>
  <si>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</si>
  <si>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</si>
  <si>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</si>
  <si>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</si>
  <si>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</si>
  <si>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</si>
  <si>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</si>
  <si>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</si>
  <si>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</si>
  <si>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</si>
  <si>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</si>
  <si>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</si>
  <si>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</si>
  <si>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</si>
  <si>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</si>
  <si>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</si>
  <si>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</si>
  <si>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</si>
  <si>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</si>
  <si>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</si>
  <si>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</si>
  <si>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</si>
  <si>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</si>
  <si>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</si>
  <si>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</si>
  <si>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</si>
  <si>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</si>
  <si>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</si>
  <si>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</si>
  <si>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</si>
  <si>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</si>
  <si>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</si>
  <si>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</si>
  <si>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</si>
  <si>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</si>
  <si>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</si>
  <si>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</si>
  <si>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</si>
  <si>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</si>
  <si>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</si>
  <si>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</si>
  <si>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</si>
  <si>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</si>
  <si>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</si>
  <si>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</si>
  <si>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</si>
  <si>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</si>
  <si>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</si>
  <si>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</si>
  <si>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</si>
  <si>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</si>
  <si>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</si>
  <si>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</si>
  <si>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</si>
  <si>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</si>
  <si>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</si>
  <si>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</si>
  <si>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</si>
  <si>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</si>
  <si>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</si>
  <si>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</si>
  <si>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</si>
  <si>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</si>
  <si>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</si>
  <si>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</si>
  <si>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</si>
  <si>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</si>
  <si>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</si>
  <si>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</si>
  <si>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</si>
  <si>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</si>
  <si>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</si>
  <si>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</si>
  <si>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</si>
  <si>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</si>
  <si>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</si>
  <si>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</si>
  <si>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</si>
  <si>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</si>
  <si>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</si>
  <si>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</si>
  <si>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</si>
  <si>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</si>
  <si>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</si>
  <si>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</si>
  <si>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</si>
  <si>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</si>
  <si>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</si>
  <si>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</si>
  <si>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</si>
  <si>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</si>
  <si>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</si>
  <si>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</si>
  <si>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</si>
  <si>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</si>
  <si>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</si>
  <si>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</si>
  <si>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</si>
  <si>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</si>
  <si>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</si>
  <si>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</si>
  <si>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</si>
  <si>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</si>
  <si>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</si>
  <si>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</si>
  <si>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</si>
  <si>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</si>
  <si>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</si>
  <si>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</si>
  <si>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</si>
  <si>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</si>
  <si>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</si>
  <si>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</si>
  <si>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</si>
  <si>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</si>
  <si>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</si>
  <si>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</si>
  <si>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</si>
  <si>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</si>
  <si>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</si>
  <si>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</si>
  <si>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</si>
  <si>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</si>
  <si>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</si>
  <si>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</si>
  <si>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</si>
  <si>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</si>
  <si>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</si>
  <si>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</si>
  <si>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</si>
  <si>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</si>
  <si>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</si>
  <si>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</si>
  <si>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</si>
  <si>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</si>
  <si>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</si>
  <si>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</si>
  <si>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</si>
  <si>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</si>
  <si>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</si>
  <si>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</si>
  <si>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</si>
  <si>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</si>
  <si>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</si>
  <si>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</si>
  <si>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</si>
  <si>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</si>
  <si>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</si>
  <si>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</si>
  <si>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</si>
  <si>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</si>
  <si>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</si>
  <si>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</si>
  <si>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</si>
  <si>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</si>
  <si>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</si>
  <si>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</si>
  <si>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</si>
  <si>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</si>
  <si>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</si>
  <si>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</si>
  <si>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</si>
  <si>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</si>
  <si>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</si>
  <si>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</si>
  <si>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</si>
  <si>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</si>
  <si>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</si>
  <si>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</si>
  <si>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</si>
  <si>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</si>
  <si>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</si>
  <si>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</si>
  <si>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</si>
  <si>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</si>
  <si>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</si>
  <si>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</si>
  <si>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</si>
  <si>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</si>
  <si>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</si>
  <si>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</si>
  <si>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</si>
  <si>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</si>
  <si>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</si>
  <si>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</si>
  <si>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</si>
  <si>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</si>
  <si>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</si>
  <si>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</si>
  <si>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</si>
  <si>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</si>
  <si>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</si>
  <si>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</si>
  <si>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</si>
  <si>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</si>
  <si>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</si>
  <si>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</si>
  <si>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</si>
  <si>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</si>
  <si>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</si>
  <si>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</si>
  <si>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</si>
  <si>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</si>
  <si>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</si>
  <si>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</si>
  <si>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</si>
  <si>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</si>
  <si>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</si>
  <si>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</si>
  <si>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</si>
  <si>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</si>
  <si>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</si>
  <si>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</si>
  <si>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</si>
  <si>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</si>
  <si>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</si>
  <si>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</si>
  <si>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</si>
  <si>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</si>
  <si>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</si>
  <si>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</si>
  <si>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</si>
  <si>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</si>
  <si>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</si>
  <si>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</si>
  <si>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</si>
  <si>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</si>
  <si>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</si>
  <si>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</si>
  <si>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</si>
  <si>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</si>
  <si>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</si>
  <si>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</si>
  <si>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</si>
  <si>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</si>
  <si>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</si>
  <si>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</si>
  <si>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</si>
  <si>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</si>
  <si>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</si>
  <si>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</si>
  <si>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</si>
  <si>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</si>
  <si>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</si>
  <si>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</si>
  <si>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</si>
  <si>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</si>
  <si>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</si>
  <si>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</si>
  <si>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</si>
  <si>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</si>
  <si>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</si>
  <si>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</si>
  <si>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</si>
  <si>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</si>
  <si>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</si>
  <si>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</si>
  <si>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</si>
  <si>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</si>
  <si>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</si>
  <si>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</si>
  <si>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</si>
  <si>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</si>
  <si>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</si>
  <si>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</si>
  <si>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</si>
  <si>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</si>
  <si>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</si>
  <si>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</si>
  <si>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</si>
  <si>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</si>
  <si>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</si>
  <si>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</si>
  <si>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</si>
  <si>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</si>
  <si>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</si>
  <si>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</si>
  <si>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</si>
  <si>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</si>
  <si>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</si>
  <si>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</si>
  <si>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</si>
  <si>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</si>
  <si>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</si>
  <si>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</si>
  <si>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</si>
  <si>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</si>
  <si>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</si>
  <si>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</si>
  <si>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</si>
  <si>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</si>
  <si>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</si>
  <si>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</si>
  <si>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</si>
  <si>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</si>
  <si>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</si>
  <si>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</si>
  <si>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</si>
  <si>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</si>
  <si>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</si>
  <si>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</si>
  <si>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</si>
  <si>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</si>
  <si>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</si>
  <si>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</si>
  <si>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</si>
  <si>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</si>
  <si>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</si>
  <si>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</si>
  <si>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</si>
  <si>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</si>
  <si>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</si>
  <si>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</si>
  <si>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</si>
  <si>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</si>
  <si>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</si>
  <si>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</si>
  <si>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</si>
  <si>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</si>
  <si>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</si>
  <si>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</si>
  <si>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</si>
  <si>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</si>
  <si>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</si>
  <si>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</si>
  <si>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</si>
  <si>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</si>
  <si>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</si>
  <si>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</si>
  <si>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</si>
  <si>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</si>
  <si>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</si>
  <si>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</si>
  <si>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</si>
  <si>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</si>
  <si>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</si>
  <si>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</si>
  <si>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</si>
  <si>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</si>
  <si>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</si>
  <si>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</si>
  <si>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</si>
  <si>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</si>
  <si>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</si>
  <si>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</si>
  <si>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</si>
  <si>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</si>
  <si>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</si>
  <si>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</si>
  <si>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</si>
  <si>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</si>
  <si>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</si>
  <si>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</si>
  <si>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</si>
  <si>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</si>
  <si>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</si>
  <si>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</si>
  <si>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</si>
  <si>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</si>
  <si>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</si>
  <si>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</si>
  <si>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</si>
  <si>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</si>
  <si>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</si>
  <si>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</si>
  <si>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</si>
  <si>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</si>
  <si>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</si>
  <si>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</si>
  <si>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</si>
  <si>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</si>
  <si>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</si>
  <si>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</si>
  <si>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</si>
  <si>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</si>
  <si>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</si>
  <si>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</si>
  <si>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</si>
  <si>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</si>
  <si>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</si>
  <si>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</si>
  <si>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</si>
  <si>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</si>
  <si>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</si>
  <si>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</si>
  <si>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</si>
  <si>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</si>
  <si>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</si>
  <si>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</si>
  <si>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</si>
  <si>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</si>
  <si>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</si>
  <si>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</si>
  <si>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</si>
  <si>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</si>
  <si>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</si>
  <si>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</si>
  <si>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</si>
  <si>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</si>
  <si>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</si>
  <si>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</si>
  <si>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</si>
  <si>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</si>
  <si>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</si>
  <si>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</si>
  <si>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</si>
  <si>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</si>
  <si>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</si>
  <si>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</si>
  <si>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</si>
  <si>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</si>
  <si>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</si>
  <si>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</si>
  <si>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</si>
  <si>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</si>
  <si>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</si>
  <si>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</si>
  <si>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</si>
  <si>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</si>
  <si>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</si>
  <si>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</si>
  <si>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</si>
  <si>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</si>
  <si>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</si>
  <si>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</si>
  <si>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</si>
  <si>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</si>
  <si>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</si>
  <si>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</si>
  <si>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</si>
  <si>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</si>
  <si>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</si>
  <si>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</si>
  <si>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</si>
  <si>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</si>
  <si>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</si>
  <si>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</si>
  <si>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</si>
  <si>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</si>
  <si>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</si>
  <si>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</si>
  <si>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</si>
  <si>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</si>
  <si>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</si>
  <si>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</si>
  <si>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</si>
  <si>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</si>
  <si>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</si>
  <si>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</si>
  <si>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</si>
  <si>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</si>
  <si>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</si>
  <si>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</si>
  <si>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</si>
  <si>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</si>
  <si>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</si>
  <si>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</si>
  <si>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</si>
  <si>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</si>
  <si>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</si>
  <si>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</si>
  <si>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</si>
  <si>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</si>
  <si>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</si>
  <si>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</si>
  <si>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</si>
  <si>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</si>
  <si>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</si>
  <si>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</si>
  <si>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</si>
  <si>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</si>
  <si>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</si>
  <si>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</si>
  <si>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</si>
  <si>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</si>
  <si>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</si>
  <si>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</si>
  <si>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</si>
  <si>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</si>
  <si>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</si>
  <si>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</si>
  <si>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</si>
  <si>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</si>
  <si>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</si>
  <si>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</si>
  <si>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</si>
  <si>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</si>
  <si>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</si>
  <si>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</si>
  <si>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</si>
  <si>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</si>
  <si>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</si>
  <si>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</si>
  <si>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</si>
  <si>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</si>
  <si>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</si>
  <si>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</si>
  <si>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</si>
  <si>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</si>
  <si>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</si>
  <si>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</si>
  <si>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</si>
  <si>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</si>
  <si>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</si>
  <si>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</si>
  <si>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</si>
  <si>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</si>
  <si>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</si>
  <si>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</si>
  <si>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</si>
  <si>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</si>
  <si>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</si>
  <si>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</si>
  <si>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</si>
  <si>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</si>
  <si>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</si>
  <si>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</si>
  <si>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</si>
  <si>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</si>
  <si>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</si>
  <si>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</si>
  <si>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</si>
  <si>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</si>
  <si>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</si>
  <si>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</si>
  <si>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</si>
  <si>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</si>
  <si>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</si>
  <si>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</si>
  <si>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</si>
  <si>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</si>
  <si>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</si>
  <si>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</si>
  <si>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</si>
  <si>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</si>
  <si>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</si>
  <si>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</si>
  <si>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</si>
  <si>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</si>
  <si>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</si>
  <si>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</si>
  <si>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</si>
  <si>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</si>
  <si>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</si>
  <si>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</si>
  <si>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</si>
  <si>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</si>
  <si>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</si>
  <si>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Villa Verde</t>
  </si>
  <si>
    <t>84824 Calle Verde</t>
  </si>
  <si>
    <t>Coachella</t>
  </si>
  <si>
    <t>Abode Communities</t>
  </si>
  <si>
    <t>Villa Verde I GP, LLC</t>
  </si>
  <si>
    <t xml:space="preserve">Los Angeles </t>
  </si>
  <si>
    <t>1149 S Hill Street, Suite 700</t>
  </si>
  <si>
    <t>CA</t>
  </si>
  <si>
    <t>Lara Regus</t>
  </si>
  <si>
    <t>213-225-2812</t>
  </si>
  <si>
    <t xml:space="preserve">Abode Communities </t>
  </si>
  <si>
    <t>lregus@abodecommunities.org</t>
  </si>
  <si>
    <t xml:space="preserve">Lara Regus </t>
  </si>
  <si>
    <t>1149 S Hill St., Suite 700</t>
  </si>
  <si>
    <t>Los Angeles, CA, 90015</t>
  </si>
  <si>
    <t xml:space="preserve">Development Services Director </t>
  </si>
  <si>
    <t>Gabriel Perez</t>
  </si>
  <si>
    <t>53990 Enterprise Way</t>
  </si>
  <si>
    <t>760-398-3502</t>
  </si>
  <si>
    <t>760-888-1943</t>
  </si>
  <si>
    <t>gperez@coachella.org</t>
  </si>
  <si>
    <t>213-225-2709</t>
  </si>
  <si>
    <t>1149 S Hill St. Suite 700</t>
  </si>
  <si>
    <t>Los Angeles, CA 90015</t>
  </si>
  <si>
    <t xml:space="preserve">Bocarsly Emden Cowan Esmail &amp; Ardnt LLP										</t>
  </si>
  <si>
    <t xml:space="preserve">633 W. 5th Street, 64th Floor										</t>
  </si>
  <si>
    <t xml:space="preserve">Los Angeles, CA 90071										</t>
  </si>
  <si>
    <t xml:space="preserve">Nicole Deddens										</t>
  </si>
  <si>
    <t xml:space="preserve">(213) 239-8029					</t>
  </si>
  <si>
    <t>ndeddens@bocarsly.com</t>
  </si>
  <si>
    <t>Sun Country Builders</t>
  </si>
  <si>
    <t xml:space="preserve">3156 Lionshead Avenue Suite 2											</t>
  </si>
  <si>
    <t>Carlsbad, CA 92010</t>
  </si>
  <si>
    <t xml:space="preserve">Saul Barrera							</t>
  </si>
  <si>
    <t xml:space="preserve">(760) 630-8042			</t>
  </si>
  <si>
    <t>sbarrera@suncountrybuilders.net</t>
  </si>
  <si>
    <t>DuctTesters</t>
  </si>
  <si>
    <t>336 West Main St.</t>
  </si>
  <si>
    <t>Ripon, CA 95366</t>
  </si>
  <si>
    <t>Jeremiah Ellis</t>
  </si>
  <si>
    <t>209-900-4528</t>
  </si>
  <si>
    <t>jeremiah@qualitybuilt.com</t>
  </si>
  <si>
    <t>TBD</t>
  </si>
  <si>
    <t>Cohn Reznick</t>
  </si>
  <si>
    <t>621 Capitol Mall Suite 2150</t>
  </si>
  <si>
    <t>Sacramento, CA 95814</t>
  </si>
  <si>
    <t>Eric Jones</t>
  </si>
  <si>
    <t>916-442-9100</t>
  </si>
  <si>
    <t>eric.jones@cohnreznick.com</t>
  </si>
  <si>
    <t xml:space="preserve">California Housing Partnership										</t>
  </si>
  <si>
    <t xml:space="preserve">600 Wilshire Blvd., Ste. 890										</t>
  </si>
  <si>
    <t xml:space="preserve">Los Angeles, CA 90017										</t>
  </si>
  <si>
    <t>Nicole Norori</t>
  </si>
  <si>
    <t>805-914-5401</t>
  </si>
  <si>
    <t>nnorori@chpc.net</t>
  </si>
  <si>
    <t>Raney Planning &amp; Management, Inc.</t>
  </si>
  <si>
    <t>1501 Sports Drive, Suite A</t>
  </si>
  <si>
    <t xml:space="preserve">Sacramento, CA 95834										</t>
  </si>
  <si>
    <t>Stefanie Williams</t>
  </si>
  <si>
    <t xml:space="preserve">(916) 372-6100					</t>
  </si>
  <si>
    <t xml:space="preserve">swilliams@laurinassociates.com										</t>
  </si>
  <si>
    <t>Bluewater Appraisal Services</t>
  </si>
  <si>
    <t>7216 Manzanita St.</t>
  </si>
  <si>
    <t>Carlsbad, CA 92011</t>
  </si>
  <si>
    <t>Shawn Horn</t>
  </si>
  <si>
    <t>760-583-0832</t>
  </si>
  <si>
    <t>shawn@bluewaterappraisals.com</t>
  </si>
  <si>
    <t>California Municipal Finance Agency</t>
  </si>
  <si>
    <t>2111 Palomar Airport Rd, Suite 320</t>
  </si>
  <si>
    <t>760-930-1333</t>
  </si>
  <si>
    <t>astubbs@cmfa-ca.com</t>
  </si>
  <si>
    <t>Anthony Stubbs</t>
  </si>
  <si>
    <t>213-225-2754</t>
  </si>
  <si>
    <t>Sarah Furchtenicht</t>
  </si>
  <si>
    <t>sfurchtenicht@abodecommunities.org</t>
  </si>
  <si>
    <t>rflores@abodecommunities.org</t>
  </si>
  <si>
    <t>(213) 225-2712</t>
  </si>
  <si>
    <t>Raevan Flores</t>
  </si>
  <si>
    <t>Housing Authority of Riverside County</t>
  </si>
  <si>
    <t>Heidi Marshall</t>
  </si>
  <si>
    <t>Executive Director</t>
  </si>
  <si>
    <t>Mike Walsh</t>
  </si>
  <si>
    <t>Deputy Director</t>
  </si>
  <si>
    <t>3403 Tenth St, Suite 300</t>
  </si>
  <si>
    <t>Riverside, CA 92501</t>
  </si>
  <si>
    <t>951-955-8126</t>
  </si>
  <si>
    <t>One or Two Story Garden</t>
  </si>
  <si>
    <t xml:space="preserve">Surface Level Carport Parking only </t>
  </si>
  <si>
    <t>Vacant</t>
  </si>
  <si>
    <t>R-M (Residential Multi-Family): 25 units/acre</t>
  </si>
  <si>
    <t>R-M (Residential Multi-Family): 16.5 units/acre</t>
  </si>
  <si>
    <t>3 stories or 45 ft (whichever is less)</t>
  </si>
  <si>
    <t>1 parking space/unit</t>
  </si>
  <si>
    <t>HCD No Place Like Home</t>
  </si>
  <si>
    <t>HACR - Project Based Vouchers (R2)</t>
  </si>
  <si>
    <t>HACR - Project Based Vouchers (R1)</t>
  </si>
  <si>
    <t>Riverside Co. PLHA</t>
  </si>
  <si>
    <t>HACR Land Contribution and Taxable Bond</t>
  </si>
  <si>
    <t>HACR Former RDA Funds</t>
  </si>
  <si>
    <t>No Place Like Home</t>
  </si>
  <si>
    <t>40%/60%</t>
  </si>
  <si>
    <t>Sole Member of GP LLC</t>
  </si>
  <si>
    <t>Wells Fargo, Taxable</t>
  </si>
  <si>
    <t>Wells Fargo, Tax-Exempt</t>
  </si>
  <si>
    <t>Variable</t>
  </si>
  <si>
    <t>HACR PLHA Loan</t>
  </si>
  <si>
    <t>HACR Taxable Housing Bond</t>
  </si>
  <si>
    <t>City of Coachella RDA Funds</t>
  </si>
  <si>
    <t>Fixed</t>
  </si>
  <si>
    <t>Deferred Costs</t>
  </si>
  <si>
    <t>Equity Contribution - GP</t>
  </si>
  <si>
    <t>Equity Contribution - LP</t>
  </si>
  <si>
    <t>HCD - NPLH</t>
  </si>
  <si>
    <t>Air Conditioning</t>
  </si>
  <si>
    <t>Trainings, Admin, Consultants</t>
  </si>
  <si>
    <t>Payroll Taxes, Benefits</t>
  </si>
  <si>
    <t>Taxes and Licenses</t>
  </si>
  <si>
    <t>HACR / City of Coachella</t>
  </si>
  <si>
    <t>Project-based vouchers (PBVs)</t>
  </si>
  <si>
    <t>Housing Authority, County of Riverside</t>
  </si>
  <si>
    <t>Other: Escalation Contingency</t>
  </si>
  <si>
    <t>Other: LEED/HERS Rater</t>
  </si>
  <si>
    <t>Other: Other Consultants</t>
  </si>
  <si>
    <t>Other: HCD Pooled Reserve Fee</t>
  </si>
  <si>
    <t xml:space="preserve">Other: Partnership Formation </t>
  </si>
  <si>
    <t>Other: Issuer Fees, CDLAC, CDIAC</t>
  </si>
  <si>
    <t>HACR Taxable Bond</t>
  </si>
  <si>
    <t>GP Capital</t>
  </si>
  <si>
    <t>Other: (Perm Legal Sponsor + Lender)</t>
  </si>
  <si>
    <t>Other:Constr Closing</t>
  </si>
  <si>
    <t>Local Agency Monitoring Fee</t>
  </si>
  <si>
    <t>CCRC Bank</t>
  </si>
  <si>
    <t>Provided</t>
  </si>
  <si>
    <t>Not Applicable</t>
  </si>
  <si>
    <t>333 S Grand Ave. 9th Fl.</t>
  </si>
  <si>
    <t>Christian Von Merkatz</t>
  </si>
  <si>
    <t>213-358-7478</t>
  </si>
  <si>
    <t>Construction Loan</t>
  </si>
  <si>
    <t>3403 Tenth St. Suite 300</t>
  </si>
  <si>
    <t>Juan Garcia</t>
  </si>
  <si>
    <t>Residual Receipts Loan</t>
  </si>
  <si>
    <t>HACR (Former City of Coachella) RDA Funds</t>
  </si>
  <si>
    <t>100 West Broadway, Suite 1000</t>
  </si>
  <si>
    <t>818.844.4956</t>
  </si>
  <si>
    <t>Owen Patterson</t>
  </si>
  <si>
    <t>Fully Amortizing Loan</t>
  </si>
  <si>
    <t xml:space="preserve">2020 W. El Camino Ave. 											</t>
  </si>
  <si>
    <t xml:space="preserve">Sacramento, CA 95833				</t>
  </si>
  <si>
    <t>Tanya Danna</t>
  </si>
  <si>
    <t>916-776-7709</t>
  </si>
  <si>
    <t>Deferred Dev Fee</t>
  </si>
  <si>
    <t>1 bedroom</t>
  </si>
  <si>
    <t>2 bedroom</t>
  </si>
  <si>
    <t>3 bedroom</t>
  </si>
  <si>
    <t>HACR Sekker Carryback Loan</t>
  </si>
  <si>
    <t>HACR Seller Carryback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</si>
</sst>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11" xfId="0" applyFont="1" applyBorder="1" applyAlignment="1">
      <alignment horizontal="center" vertical="top" wrapText="1"/>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14" fillId="5" borderId="11" xfId="0" applyFont="1" applyFill="1" applyBorder="1" applyAlignment="1" applyProtection="1">
      <alignment horizontal="left" wrapText="1"/>
      <protection locked="0"/>
    </xf>
    <xf numFmtId="0" fontId="23"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21" fillId="0" borderId="11" xfId="0" applyFont="1" applyBorder="1" applyAlignment="1">
      <alignment horizontal="center" vertical="center" wrapText="1"/>
    </xf>
    <xf numFmtId="0" fontId="20" fillId="3" borderId="0" xfId="0" applyFont="1" applyFill="1" applyAlignment="1">
      <alignment horizontal="center" vertical="center"/>
    </xf>
    <xf numFmtId="172" fontId="21" fillId="0" borderId="11" xfId="0" applyNumberFormat="1" applyFont="1" applyBorder="1" applyAlignment="1">
      <alignment horizontal="center" vertical="center" wrapText="1"/>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66" fontId="23" fillId="5" borderId="4" xfId="0" applyNumberFormat="1" applyFont="1" applyFill="1" applyBorder="1" applyAlignment="1" applyProtection="1">
      <alignment horizontal="left"/>
      <protection locked="0"/>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5" borderId="4" xfId="0" applyFont="1" applyFill="1" applyBorder="1" applyAlignment="1" applyProtection="1">
      <alignment horizontal="left"/>
      <protection locked="0"/>
    </xf>
    <xf numFmtId="0" fontId="23" fillId="0" borderId="11" xfId="0" applyFont="1" applyBorder="1" applyAlignment="1">
      <alignment horizontal="center"/>
    </xf>
    <xf numFmtId="0" fontId="14" fillId="0" borderId="11"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3" fillId="2" borderId="11" xfId="0" applyFont="1" applyFill="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22"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4" fontId="33"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43"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14"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3" fillId="0" borderId="3" xfId="0" applyFont="1" applyBorder="1" applyAlignment="1">
      <alignment horizontal="lef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0" borderId="0" xfId="543"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168" fontId="0" fillId="0" borderId="11" xfId="0" applyNumberForma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3" fontId="23" fillId="5" borderId="11" xfId="0" applyNumberFormat="1" applyFont="1" applyFill="1" applyBorder="1" applyAlignment="1" applyProtection="1">
      <alignment horizontal="center"/>
      <protection locked="0"/>
    </xf>
    <xf numFmtId="0" fontId="21" fillId="0" borderId="6" xfId="0" applyFont="1" applyBorder="1" applyAlignment="1">
      <alignment horizontal="right"/>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6" fontId="14" fillId="5" borderId="4" xfId="0" applyNumberFormat="1" applyFont="1" applyFill="1" applyBorder="1" applyAlignment="1" applyProtection="1">
      <alignment horizontal="lef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4" fillId="0" borderId="0" xfId="543" applyNumberFormat="1" applyAlignment="1">
      <alignment horizontal="right"/>
    </xf>
    <xf numFmtId="2" fontId="14" fillId="0" borderId="0" xfId="543" applyNumberFormat="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1" fillId="0" borderId="7" xfId="0" applyFont="1" applyBorder="1" applyAlignment="1">
      <alignment horizontal="center" wrapText="1"/>
    </xf>
    <xf numFmtId="0" fontId="21" fillId="0" borderId="9" xfId="0" applyFont="1" applyBorder="1" applyAlignment="1">
      <alignment horizontal="right"/>
    </xf>
    <xf numFmtId="0" fontId="21" fillId="0" borderId="10" xfId="0" applyFont="1" applyBorder="1" applyAlignment="1">
      <alignment horizontal="right"/>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68" fontId="23" fillId="0" borderId="11" xfId="0" applyNumberFormat="1" applyFont="1" applyBorder="1" applyAlignment="1">
      <alignment horizontal="center"/>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1" fillId="0" borderId="9" xfId="0" applyFont="1" applyBorder="1" applyAlignment="1">
      <alignment horizontal="center"/>
    </xf>
    <xf numFmtId="168" fontId="14"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4" fillId="5" borderId="4" xfId="0"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0" fontId="14" fillId="0" borderId="6" xfId="1192" applyBorder="1" applyAlignment="1">
      <alignment horizontal="left"/>
    </xf>
    <xf numFmtId="0" fontId="14" fillId="0" borderId="6" xfId="1192" applyBorder="1" applyAlignment="1">
      <alignment horizontal="right"/>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168" fontId="14" fillId="43" borderId="6" xfId="1192" applyNumberFormat="1" applyFill="1" applyBorder="1" applyAlignment="1" applyProtection="1">
      <alignment horizontal="right"/>
      <protection locked="0"/>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9" fontId="22" fillId="5" borderId="6" xfId="4495" applyNumberFormat="1" applyFont="1" applyFill="1" applyBorder="1" applyAlignment="1">
      <alignment horizontal="left"/>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cellXfs>
  <cellStyles count="17170">
    <cellStyle name="20% - Accent1" xfId="1" builtinId="30" customBuiltin="1"/>
    <cellStyle name="20% - Accent1 10" xfId="4505" xr:uid="{00000000-0005-0000-0000-000001000000}"/>
    <cellStyle name="20% - Accent1 10 2" xfId="12947" xr:uid="{8FA437B4-389C-4CAB-BB08-B2FCC83B9C7E}"/>
    <cellStyle name="20% - Accent1 11" xfId="8729" xr:uid="{626751EE-C297-48D5-A159-FE1F84D8F8AA}"/>
    <cellStyle name="20% - Accent1 2" xfId="2" xr:uid="{00000000-0005-0000-0000-000002000000}"/>
    <cellStyle name="20% - Accent1 2 10" xfId="8730" xr:uid="{734B6617-8759-4BE8-A628-20EDC903A67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98C72AA0-AD9E-4EB6-B9C4-E1697B616669}"/>
    <cellStyle name="20% - Accent1 2 2 2 2 2 3" xfId="11291" xr:uid="{BDBD76DE-CD94-485E-91BF-0329EC9F6B50}"/>
    <cellStyle name="20% - Accent1 2 2 2 2 3" xfId="4922" xr:uid="{00000000-0005-0000-0000-000008000000}"/>
    <cellStyle name="20% - Accent1 2 2 2 2 3 2" xfId="13364" xr:uid="{B3382367-AADC-44D9-A8DF-30FCD7DA1E9B}"/>
    <cellStyle name="20% - Accent1 2 2 2 2 4" xfId="9146" xr:uid="{09C99493-21EB-4348-9C9A-EE6369A9B09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CAA917A8-6674-46AB-9BCD-C6C81AB92112}"/>
    <cellStyle name="20% - Accent1 2 2 2 3 2 3" xfId="11704" xr:uid="{729A5348-DC1A-4024-B3EB-4E018A35E570}"/>
    <cellStyle name="20% - Accent1 2 2 2 3 3" xfId="5335" xr:uid="{00000000-0005-0000-0000-00000C000000}"/>
    <cellStyle name="20% - Accent1 2 2 2 3 3 2" xfId="13777" xr:uid="{9EEE7468-F520-41B8-9909-EBCC6CABB678}"/>
    <cellStyle name="20% - Accent1 2 2 2 3 4" xfId="9559" xr:uid="{166C67FE-2282-426C-A0C6-FC9577F7198A}"/>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67E4F552-006D-463D-9A24-39BB1774C689}"/>
    <cellStyle name="20% - Accent1 2 2 2 4 2 3" xfId="12117" xr:uid="{45110749-78F4-401B-A22B-283BC0FBE79C}"/>
    <cellStyle name="20% - Accent1 2 2 2 4 3" xfId="5748" xr:uid="{00000000-0005-0000-0000-000010000000}"/>
    <cellStyle name="20% - Accent1 2 2 2 4 3 2" xfId="14190" xr:uid="{5E4D21E9-CFBC-4F60-9680-E44F86B0C98F}"/>
    <cellStyle name="20% - Accent1 2 2 2 4 4" xfId="9972" xr:uid="{0F258408-B249-4228-9313-F19E6FFEFE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B777F383-37D3-482A-AFB4-4B280B21E787}"/>
    <cellStyle name="20% - Accent1 2 2 2 5 2 3" xfId="12530" xr:uid="{46D170DD-A1FB-48DF-BFEA-FF4A90AAF7D4}"/>
    <cellStyle name="20% - Accent1 2 2 2 5 3" xfId="6161" xr:uid="{00000000-0005-0000-0000-000014000000}"/>
    <cellStyle name="20% - Accent1 2 2 2 5 3 2" xfId="14603" xr:uid="{79F41D3F-BB3D-4A9E-BC1C-DA28C6BB8579}"/>
    <cellStyle name="20% - Accent1 2 2 2 5 4" xfId="10385" xr:uid="{51C6BD80-F32B-410F-9685-EF295FB3382F}"/>
    <cellStyle name="20% - Accent1 2 2 2 6" xfId="2267" xr:uid="{00000000-0005-0000-0000-000015000000}"/>
    <cellStyle name="20% - Accent1 2 2 2 6 2" xfId="6574" xr:uid="{00000000-0005-0000-0000-000016000000}"/>
    <cellStyle name="20% - Accent1 2 2 2 6 2 2" xfId="15016" xr:uid="{4E7CADB7-6720-4B4B-88C4-2470344B4098}"/>
    <cellStyle name="20% - Accent1 2 2 2 6 3" xfId="10798" xr:uid="{44895DC3-CD12-4740-8125-9650EADED061}"/>
    <cellStyle name="20% - Accent1 2 2 2 7" xfId="4508" xr:uid="{00000000-0005-0000-0000-000017000000}"/>
    <cellStyle name="20% - Accent1 2 2 2 7 2" xfId="12950" xr:uid="{9A391D79-504A-402B-88AB-D9B26962E7A2}"/>
    <cellStyle name="20% - Accent1 2 2 2 8" xfId="8732" xr:uid="{9C449F99-9A86-467A-AED1-F7E5BF082336}"/>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19186F22-7289-454C-A71F-353F148AC8BF}"/>
    <cellStyle name="20% - Accent1 2 2 3 2 3" xfId="11290" xr:uid="{1D6D89CE-D908-4B85-973C-8DCECF76050C}"/>
    <cellStyle name="20% - Accent1 2 2 3 3" xfId="4921" xr:uid="{00000000-0005-0000-0000-00001B000000}"/>
    <cellStyle name="20% - Accent1 2 2 3 3 2" xfId="13363" xr:uid="{FF12B904-585E-44C5-8F25-502C7F8AF9E9}"/>
    <cellStyle name="20% - Accent1 2 2 3 4" xfId="9145" xr:uid="{BD3E7234-BE46-4676-AA96-84DB2FDAF9BE}"/>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2F2B52E1-0CD9-40DB-A81B-5A24550AA88A}"/>
    <cellStyle name="20% - Accent1 2 2 4 2 3" xfId="11703" xr:uid="{849E7C70-1A21-4292-8D1E-6596E5E32C78}"/>
    <cellStyle name="20% - Accent1 2 2 4 3" xfId="5334" xr:uid="{00000000-0005-0000-0000-00001F000000}"/>
    <cellStyle name="20% - Accent1 2 2 4 3 2" xfId="13776" xr:uid="{AF374809-E009-4A1B-923F-52155764482D}"/>
    <cellStyle name="20% - Accent1 2 2 4 4" xfId="9558" xr:uid="{29F49DAB-F5E0-4EEC-B442-B22097B4DB96}"/>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9B8EA5A5-FC8B-4964-A6E6-7B92046A4011}"/>
    <cellStyle name="20% - Accent1 2 2 5 2 3" xfId="12116" xr:uid="{01DA2F22-30D5-49A3-BB77-C0C01DEA8D54}"/>
    <cellStyle name="20% - Accent1 2 2 5 3" xfId="5747" xr:uid="{00000000-0005-0000-0000-000023000000}"/>
    <cellStyle name="20% - Accent1 2 2 5 3 2" xfId="14189" xr:uid="{F8BE4E54-98E0-4877-BF91-9F4663193010}"/>
    <cellStyle name="20% - Accent1 2 2 5 4" xfId="9971" xr:uid="{19044B50-E07B-4B86-9246-2E3D7ADC5966}"/>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42CD4D5F-FBE8-4C92-BF1C-B07692CF7E40}"/>
    <cellStyle name="20% - Accent1 2 2 6 2 3" xfId="12529" xr:uid="{A09D5947-6FE6-478F-8D37-F1B3E23DD5F8}"/>
    <cellStyle name="20% - Accent1 2 2 6 3" xfId="6160" xr:uid="{00000000-0005-0000-0000-000027000000}"/>
    <cellStyle name="20% - Accent1 2 2 6 3 2" xfId="14602" xr:uid="{9C5F42EA-F744-4335-AE4D-1D0560BCF301}"/>
    <cellStyle name="20% - Accent1 2 2 6 4" xfId="10384" xr:uid="{6C8C160E-3AD4-49F1-B464-AC5271E6E685}"/>
    <cellStyle name="20% - Accent1 2 2 7" xfId="2266" xr:uid="{00000000-0005-0000-0000-000028000000}"/>
    <cellStyle name="20% - Accent1 2 2 7 2" xfId="6573" xr:uid="{00000000-0005-0000-0000-000029000000}"/>
    <cellStyle name="20% - Accent1 2 2 7 2 2" xfId="15015" xr:uid="{9F25B35F-DA51-454F-B34A-AC703A092CBE}"/>
    <cellStyle name="20% - Accent1 2 2 7 3" xfId="10797" xr:uid="{0AF0C611-47E4-4EA4-B7F7-B263E74EECCF}"/>
    <cellStyle name="20% - Accent1 2 2 8" xfId="4507" xr:uid="{00000000-0005-0000-0000-00002A000000}"/>
    <cellStyle name="20% - Accent1 2 2 8 2" xfId="12949" xr:uid="{EDB81400-FD07-4A12-99E9-20C802F83512}"/>
    <cellStyle name="20% - Accent1 2 2 9" xfId="8731" xr:uid="{4B0A7BA5-F00A-4F4D-AB2A-5C7A4C3585F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7F20F8A8-2ADC-4A29-A9BE-31C067C81FC4}"/>
    <cellStyle name="20% - Accent1 2 3 2 2 3" xfId="11292" xr:uid="{E09B1C8C-8085-410C-9348-961B5CAFBD01}"/>
    <cellStyle name="20% - Accent1 2 3 2 3" xfId="4923" xr:uid="{00000000-0005-0000-0000-00002F000000}"/>
    <cellStyle name="20% - Accent1 2 3 2 3 2" xfId="13365" xr:uid="{8DD021CC-8031-4BC5-A419-D344598A1A55}"/>
    <cellStyle name="20% - Accent1 2 3 2 4" xfId="9147" xr:uid="{4242855B-3214-4FF7-9E3F-877B15202352}"/>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0FA18088-2479-40E2-BB95-9973556CA442}"/>
    <cellStyle name="20% - Accent1 2 3 3 2 3" xfId="11705" xr:uid="{45F4473C-F670-4C33-8601-9B571A384C44}"/>
    <cellStyle name="20% - Accent1 2 3 3 3" xfId="5336" xr:uid="{00000000-0005-0000-0000-000033000000}"/>
    <cellStyle name="20% - Accent1 2 3 3 3 2" xfId="13778" xr:uid="{0FEF32B5-FBE3-4533-93CE-9FE65D0BA19D}"/>
    <cellStyle name="20% - Accent1 2 3 3 4" xfId="9560" xr:uid="{052DDCD8-E07E-413E-8C93-5E9D623E2916}"/>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F85739B3-D035-44C3-ABAD-CB8454DDA69E}"/>
    <cellStyle name="20% - Accent1 2 3 4 2 3" xfId="12118" xr:uid="{EDCE9BC7-7683-402D-8A49-3F52C29A7C19}"/>
    <cellStyle name="20% - Accent1 2 3 4 3" xfId="5749" xr:uid="{00000000-0005-0000-0000-000037000000}"/>
    <cellStyle name="20% - Accent1 2 3 4 3 2" xfId="14191" xr:uid="{EBAFBC37-58C4-4FFA-9DA2-E6038088AFAC}"/>
    <cellStyle name="20% - Accent1 2 3 4 4" xfId="9973" xr:uid="{23BD3F3F-4E1A-4E47-B3BA-A9E940216FB4}"/>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C815FFBB-1496-4EC7-8D7D-3FC87BD103B4}"/>
    <cellStyle name="20% - Accent1 2 3 5 2 3" xfId="12531" xr:uid="{7649DF14-8021-4A1C-B05C-3C3173B91DA9}"/>
    <cellStyle name="20% - Accent1 2 3 5 3" xfId="6162" xr:uid="{00000000-0005-0000-0000-00003B000000}"/>
    <cellStyle name="20% - Accent1 2 3 5 3 2" xfId="14604" xr:uid="{775BBC75-E031-4B0D-A4D2-124B554814CC}"/>
    <cellStyle name="20% - Accent1 2 3 5 4" xfId="10386" xr:uid="{D02C7D42-56F5-4F99-83A7-0DF3E52D83E5}"/>
    <cellStyle name="20% - Accent1 2 3 6" xfId="2268" xr:uid="{00000000-0005-0000-0000-00003C000000}"/>
    <cellStyle name="20% - Accent1 2 3 6 2" xfId="6575" xr:uid="{00000000-0005-0000-0000-00003D000000}"/>
    <cellStyle name="20% - Accent1 2 3 6 2 2" xfId="15017" xr:uid="{F2207AC0-26A1-4719-9ED3-860F131E3E83}"/>
    <cellStyle name="20% - Accent1 2 3 6 3" xfId="10799" xr:uid="{EFD0E1D3-6C64-42F2-A242-EB2799D51003}"/>
    <cellStyle name="20% - Accent1 2 3 7" xfId="4509" xr:uid="{00000000-0005-0000-0000-00003E000000}"/>
    <cellStyle name="20% - Accent1 2 3 7 2" xfId="12951" xr:uid="{6430F007-4620-4EEA-B375-3911252295B5}"/>
    <cellStyle name="20% - Accent1 2 3 8" xfId="8733" xr:uid="{FB7E3459-C3B3-46A6-99E5-EA466134D87F}"/>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C7F31A71-4FA8-45E0-B80B-8650BEE5D7E1}"/>
    <cellStyle name="20% - Accent1 2 4 2 3" xfId="11289" xr:uid="{40DCE854-9B8F-4870-B907-E7C5242C3112}"/>
    <cellStyle name="20% - Accent1 2 4 3" xfId="4920" xr:uid="{00000000-0005-0000-0000-000042000000}"/>
    <cellStyle name="20% - Accent1 2 4 3 2" xfId="13362" xr:uid="{A3B6BD2E-7866-4302-9E2F-21E6F3E7E5C4}"/>
    <cellStyle name="20% - Accent1 2 4 4" xfId="9144" xr:uid="{7DE3289D-0436-4EBA-816C-4DF54B56DBE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FB1A8CE0-514D-48D9-8516-7B22EFD37C09}"/>
    <cellStyle name="20% - Accent1 2 5 2 3" xfId="11702" xr:uid="{426E02C9-8396-42DA-A2EE-086953BBDDBA}"/>
    <cellStyle name="20% - Accent1 2 5 3" xfId="5333" xr:uid="{00000000-0005-0000-0000-000046000000}"/>
    <cellStyle name="20% - Accent1 2 5 3 2" xfId="13775" xr:uid="{58586288-4D8D-439A-8DC2-AA8479F05C22}"/>
    <cellStyle name="20% - Accent1 2 5 4" xfId="9557" xr:uid="{D6860CE4-5037-48A2-A610-12AD8AECE53B}"/>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EEE80675-AD50-459B-95C5-D81D37899BE7}"/>
    <cellStyle name="20% - Accent1 2 6 2 3" xfId="12115" xr:uid="{754DAB3B-0551-46B4-A00C-EDA867322106}"/>
    <cellStyle name="20% - Accent1 2 6 3" xfId="5746" xr:uid="{00000000-0005-0000-0000-00004A000000}"/>
    <cellStyle name="20% - Accent1 2 6 3 2" xfId="14188" xr:uid="{D3AF6F02-EE60-441E-8BCD-117DFF9EC0A6}"/>
    <cellStyle name="20% - Accent1 2 6 4" xfId="9970" xr:uid="{782FFAAC-27FD-41AE-A5F4-4CE5958E1F2D}"/>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6FA9584F-F312-43F3-B9B9-DA041C1C20E5}"/>
    <cellStyle name="20% - Accent1 2 7 2 3" xfId="12528" xr:uid="{DF6DF10E-22FE-4C71-B44A-8D0FE1B91BC5}"/>
    <cellStyle name="20% - Accent1 2 7 3" xfId="6159" xr:uid="{00000000-0005-0000-0000-00004E000000}"/>
    <cellStyle name="20% - Accent1 2 7 3 2" xfId="14601" xr:uid="{990696C0-4C9A-4595-B283-B24C0D723E76}"/>
    <cellStyle name="20% - Accent1 2 7 4" xfId="10383" xr:uid="{110EF22A-AB55-40DD-A998-2885035B13D4}"/>
    <cellStyle name="20% - Accent1 2 8" xfId="2265" xr:uid="{00000000-0005-0000-0000-00004F000000}"/>
    <cellStyle name="20% - Accent1 2 8 2" xfId="6572" xr:uid="{00000000-0005-0000-0000-000050000000}"/>
    <cellStyle name="20% - Accent1 2 8 2 2" xfId="15014" xr:uid="{AF75F41D-6958-4400-A562-01D2B9CBA4CE}"/>
    <cellStyle name="20% - Accent1 2 8 3" xfId="10796" xr:uid="{2ED7A087-5555-4B95-835D-A54F5B99DD0D}"/>
    <cellStyle name="20% - Accent1 2 9" xfId="4506" xr:uid="{00000000-0005-0000-0000-000051000000}"/>
    <cellStyle name="20% - Accent1 2 9 2" xfId="12948" xr:uid="{D113559B-5124-4378-A967-99025604EBD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DD80FE54-E778-4830-BF61-9B05D8256F04}"/>
    <cellStyle name="20% - Accent1 3 2 2 2 3" xfId="11294" xr:uid="{54D0EFEA-2519-4CB6-B75D-8FA8D097B2E4}"/>
    <cellStyle name="20% - Accent1 3 2 2 3" xfId="4925" xr:uid="{00000000-0005-0000-0000-000057000000}"/>
    <cellStyle name="20% - Accent1 3 2 2 3 2" xfId="13367" xr:uid="{D9F62160-7136-488B-8AF1-F34A8B914D77}"/>
    <cellStyle name="20% - Accent1 3 2 2 4" xfId="9149" xr:uid="{A84EED4A-99EF-4771-8698-E1B5C4BFC317}"/>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0A6BB27F-5D2E-461E-951D-769CBC543635}"/>
    <cellStyle name="20% - Accent1 3 2 3 2 3" xfId="11707" xr:uid="{DAB215E8-32DB-44F9-B4D1-73FF1071CAC4}"/>
    <cellStyle name="20% - Accent1 3 2 3 3" xfId="5338" xr:uid="{00000000-0005-0000-0000-00005B000000}"/>
    <cellStyle name="20% - Accent1 3 2 3 3 2" xfId="13780" xr:uid="{6204DD92-0962-4869-9480-61D144CB86BA}"/>
    <cellStyle name="20% - Accent1 3 2 3 4" xfId="9562" xr:uid="{5189DF5D-24BA-47A9-B2A2-808F2AFCDADD}"/>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762B8C3E-4ED5-48D8-9497-4B6E1E1EFC7F}"/>
    <cellStyle name="20% - Accent1 3 2 4 2 3" xfId="12120" xr:uid="{8C8517AB-8D80-474E-A393-EED26922D324}"/>
    <cellStyle name="20% - Accent1 3 2 4 3" xfId="5751" xr:uid="{00000000-0005-0000-0000-00005F000000}"/>
    <cellStyle name="20% - Accent1 3 2 4 3 2" xfId="14193" xr:uid="{5D25EFF7-4B4A-4974-8552-78450F13975F}"/>
    <cellStyle name="20% - Accent1 3 2 4 4" xfId="9975" xr:uid="{C6D024A4-9D5D-484F-A9FA-F15F99B7931F}"/>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9DED6373-B135-4903-A3FA-EC59040BB7B1}"/>
    <cellStyle name="20% - Accent1 3 2 5 2 3" xfId="12533" xr:uid="{014C2CE9-845D-4428-A526-4DA903EFC163}"/>
    <cellStyle name="20% - Accent1 3 2 5 3" xfId="6164" xr:uid="{00000000-0005-0000-0000-000063000000}"/>
    <cellStyle name="20% - Accent1 3 2 5 3 2" xfId="14606" xr:uid="{215AE75F-24FB-40F5-B94B-D751948913FD}"/>
    <cellStyle name="20% - Accent1 3 2 5 4" xfId="10388" xr:uid="{15767F7E-D630-48E9-BD52-4BAEC305B0B1}"/>
    <cellStyle name="20% - Accent1 3 2 6" xfId="2270" xr:uid="{00000000-0005-0000-0000-000064000000}"/>
    <cellStyle name="20% - Accent1 3 2 6 2" xfId="6577" xr:uid="{00000000-0005-0000-0000-000065000000}"/>
    <cellStyle name="20% - Accent1 3 2 6 2 2" xfId="15019" xr:uid="{3026370D-5DFF-4337-809A-351D6FEB9BDF}"/>
    <cellStyle name="20% - Accent1 3 2 6 3" xfId="10801" xr:uid="{378A8FD9-9023-4506-A8F9-199CEE1851BE}"/>
    <cellStyle name="20% - Accent1 3 2 7" xfId="4511" xr:uid="{00000000-0005-0000-0000-000066000000}"/>
    <cellStyle name="20% - Accent1 3 2 7 2" xfId="12953" xr:uid="{698967E5-0A7A-49EA-B8DE-360199E1295E}"/>
    <cellStyle name="20% - Accent1 3 2 8" xfId="8735" xr:uid="{40630EAA-A99D-44E3-8823-48B67559541C}"/>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0902C07A-4F94-4604-B5E9-3B7832F7AA7A}"/>
    <cellStyle name="20% - Accent1 3 3 2 3" xfId="11293" xr:uid="{A65DB6FD-5DE8-4FB8-8426-D5B732B35EF8}"/>
    <cellStyle name="20% - Accent1 3 3 3" xfId="4924" xr:uid="{00000000-0005-0000-0000-00006A000000}"/>
    <cellStyle name="20% - Accent1 3 3 3 2" xfId="13366" xr:uid="{A40D1208-C3B2-49E4-93AC-CAA9EF9A9AB1}"/>
    <cellStyle name="20% - Accent1 3 3 4" xfId="9148" xr:uid="{2F37E830-87A7-4495-966A-3207C838880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FFF5AAC7-2D46-4AF4-B7BE-D3C137121312}"/>
    <cellStyle name="20% - Accent1 3 4 2 3" xfId="11706" xr:uid="{DEA98BF4-C270-443A-B232-D9115FD0200B}"/>
    <cellStyle name="20% - Accent1 3 4 3" xfId="5337" xr:uid="{00000000-0005-0000-0000-00006E000000}"/>
    <cellStyle name="20% - Accent1 3 4 3 2" xfId="13779" xr:uid="{DE06C49B-B3A9-4711-BB7E-D9E876A2C142}"/>
    <cellStyle name="20% - Accent1 3 4 4" xfId="9561" xr:uid="{487E7214-C677-44C2-9A09-16F36BB50DAE}"/>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F8B29AA1-DF9F-47B9-80C2-1C8C922E92B3}"/>
    <cellStyle name="20% - Accent1 3 5 2 3" xfId="12119" xr:uid="{F1B94550-26CD-4629-BF73-338B62563ED2}"/>
    <cellStyle name="20% - Accent1 3 5 3" xfId="5750" xr:uid="{00000000-0005-0000-0000-000072000000}"/>
    <cellStyle name="20% - Accent1 3 5 3 2" xfId="14192" xr:uid="{D45E2961-B1C3-4294-854E-5CF154B6395A}"/>
    <cellStyle name="20% - Accent1 3 5 4" xfId="9974" xr:uid="{4E21270D-34F8-4E8F-9D2C-CBDFC5E5672B}"/>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2B1D7396-7B12-4166-995A-65E846B49BAB}"/>
    <cellStyle name="20% - Accent1 3 6 2 3" xfId="12532" xr:uid="{CEF8E58F-C405-47A9-8A16-77DB76FCDF93}"/>
    <cellStyle name="20% - Accent1 3 6 3" xfId="6163" xr:uid="{00000000-0005-0000-0000-000076000000}"/>
    <cellStyle name="20% - Accent1 3 6 3 2" xfId="14605" xr:uid="{4B441EC9-7C26-48F7-8BDA-13DC71BF118A}"/>
    <cellStyle name="20% - Accent1 3 6 4" xfId="10387" xr:uid="{18F46A17-071B-4387-95BF-7CA8F87E4D73}"/>
    <cellStyle name="20% - Accent1 3 7" xfId="2269" xr:uid="{00000000-0005-0000-0000-000077000000}"/>
    <cellStyle name="20% - Accent1 3 7 2" xfId="6576" xr:uid="{00000000-0005-0000-0000-000078000000}"/>
    <cellStyle name="20% - Accent1 3 7 2 2" xfId="15018" xr:uid="{A67EC533-5D55-4143-874A-25F55D0D6797}"/>
    <cellStyle name="20% - Accent1 3 7 3" xfId="10800" xr:uid="{329E311B-FEA0-41A7-88A3-23AFFC43CF24}"/>
    <cellStyle name="20% - Accent1 3 8" xfId="4510" xr:uid="{00000000-0005-0000-0000-000079000000}"/>
    <cellStyle name="20% - Accent1 3 8 2" xfId="12952" xr:uid="{231A2381-B261-4F63-9335-8589E2E02B60}"/>
    <cellStyle name="20% - Accent1 3 9" xfId="8734" xr:uid="{2EBBB19D-83E5-4C3F-9DEB-F82CA32628CE}"/>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8074610E-C822-4B3C-9C2B-35F878AC0E13}"/>
    <cellStyle name="20% - Accent1 4 2 2 3" xfId="11295" xr:uid="{D9E14997-A4F9-4828-93DE-BCD82ED6831C}"/>
    <cellStyle name="20% - Accent1 4 2 3" xfId="4926" xr:uid="{00000000-0005-0000-0000-00007E000000}"/>
    <cellStyle name="20% - Accent1 4 2 3 2" xfId="13368" xr:uid="{4128CB06-C3D6-4583-93BE-DD4145389B17}"/>
    <cellStyle name="20% - Accent1 4 2 4" xfId="9150" xr:uid="{BAC7917D-8E52-46F2-AB7B-037A2408D04A}"/>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1C43F496-A0BA-4097-B847-300C67CE9A79}"/>
    <cellStyle name="20% - Accent1 4 3 2 3" xfId="11708" xr:uid="{9ADD9595-E716-49AE-AB85-F7B1DD07C215}"/>
    <cellStyle name="20% - Accent1 4 3 3" xfId="5339" xr:uid="{00000000-0005-0000-0000-000082000000}"/>
    <cellStyle name="20% - Accent1 4 3 3 2" xfId="13781" xr:uid="{DE7A9AD3-5A1E-4D26-80B8-FE82AED67B34}"/>
    <cellStyle name="20% - Accent1 4 3 4" xfId="9563" xr:uid="{C4E57EBB-C025-4E95-9194-FE9952B5910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F21B7D5D-C348-4498-A39B-2D551AD81410}"/>
    <cellStyle name="20% - Accent1 4 4 2 3" xfId="12121" xr:uid="{B5EA9643-69A3-4977-AC16-B6E0C359034C}"/>
    <cellStyle name="20% - Accent1 4 4 3" xfId="5752" xr:uid="{00000000-0005-0000-0000-000086000000}"/>
    <cellStyle name="20% - Accent1 4 4 3 2" xfId="14194" xr:uid="{7B355FE1-F973-49BE-A9D1-9846F677BE6F}"/>
    <cellStyle name="20% - Accent1 4 4 4" xfId="9976" xr:uid="{90719213-8F06-40BF-894C-83089F309B7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B53FBAF5-9C7D-4079-8907-902009680C72}"/>
    <cellStyle name="20% - Accent1 4 5 2 3" xfId="12534" xr:uid="{DD30A56B-A6D4-4126-BD48-61B0642F3AA2}"/>
    <cellStyle name="20% - Accent1 4 5 3" xfId="6165" xr:uid="{00000000-0005-0000-0000-00008A000000}"/>
    <cellStyle name="20% - Accent1 4 5 3 2" xfId="14607" xr:uid="{E9BA8302-7365-4D7D-B363-01AD208B968B}"/>
    <cellStyle name="20% - Accent1 4 5 4" xfId="10389" xr:uid="{346CD8B9-D3C5-4FEB-AA54-CFBD055000EB}"/>
    <cellStyle name="20% - Accent1 4 6" xfId="2271" xr:uid="{00000000-0005-0000-0000-00008B000000}"/>
    <cellStyle name="20% - Accent1 4 6 2" xfId="6578" xr:uid="{00000000-0005-0000-0000-00008C000000}"/>
    <cellStyle name="20% - Accent1 4 6 2 2" xfId="15020" xr:uid="{BEF9A541-0DDA-4271-808B-EEBAF884D1A2}"/>
    <cellStyle name="20% - Accent1 4 6 3" xfId="10802" xr:uid="{9D1E9AB1-614E-498D-AB26-85293D0C949B}"/>
    <cellStyle name="20% - Accent1 4 7" xfId="4512" xr:uid="{00000000-0005-0000-0000-00008D000000}"/>
    <cellStyle name="20% - Accent1 4 7 2" xfId="12954" xr:uid="{60B9C00A-2724-4D9B-B3D4-F67D54F92649}"/>
    <cellStyle name="20% - Accent1 4 8" xfId="8736" xr:uid="{4EBC6AB9-D2BD-4F69-82E7-461E023017DF}"/>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92F973DD-8ECC-42C1-A5C4-0B76571D0DAA}"/>
    <cellStyle name="20% - Accent1 5 2 3" xfId="11288" xr:uid="{7CF14289-8012-4016-8CD3-952BD131EC87}"/>
    <cellStyle name="20% - Accent1 5 3" xfId="4919" xr:uid="{00000000-0005-0000-0000-000091000000}"/>
    <cellStyle name="20% - Accent1 5 3 2" xfId="13361" xr:uid="{CF122D14-99DB-473D-94C0-2F36B95FFE23}"/>
    <cellStyle name="20% - Accent1 5 4" xfId="9143" xr:uid="{25AE3877-6040-4DEF-AFE7-ECAC16C55CC0}"/>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EE5F870-3E60-42C5-BF73-D4CF9D87EC01}"/>
    <cellStyle name="20% - Accent1 6 2 3" xfId="11701" xr:uid="{222F6465-8601-4581-977E-7EBBE963CEC6}"/>
    <cellStyle name="20% - Accent1 6 3" xfId="5332" xr:uid="{00000000-0005-0000-0000-000095000000}"/>
    <cellStyle name="20% - Accent1 6 3 2" xfId="13774" xr:uid="{21B4B4A8-010A-42C9-BCAD-60F29233C21F}"/>
    <cellStyle name="20% - Accent1 6 4" xfId="9556" xr:uid="{71823A61-60DE-42C6-B643-EB34000A3C75}"/>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EE28F51E-F917-48CB-A528-1E6CC23B691A}"/>
    <cellStyle name="20% - Accent1 7 2 3" xfId="12114" xr:uid="{7AD79855-5EB7-4C68-ABB3-220435B3D65A}"/>
    <cellStyle name="20% - Accent1 7 3" xfId="5745" xr:uid="{00000000-0005-0000-0000-000099000000}"/>
    <cellStyle name="20% - Accent1 7 3 2" xfId="14187" xr:uid="{ABAFB55D-6F59-43A8-A7E0-5953ED1E91BA}"/>
    <cellStyle name="20% - Accent1 7 4" xfId="9969" xr:uid="{8A5102C5-D6A4-49C8-AA34-2CE643A4129D}"/>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BED7F28F-9E27-49FF-896B-6782A6581804}"/>
    <cellStyle name="20% - Accent1 8 2 3" xfId="12527" xr:uid="{A1E0CFFC-D644-46F9-A0B7-0DD4FDAAE4A2}"/>
    <cellStyle name="20% - Accent1 8 3" xfId="6158" xr:uid="{00000000-0005-0000-0000-00009D000000}"/>
    <cellStyle name="20% - Accent1 8 3 2" xfId="14600" xr:uid="{C11495E5-7A49-4AE8-A13D-49EDF21E6261}"/>
    <cellStyle name="20% - Accent1 8 4" xfId="10382" xr:uid="{D975B1F6-226D-43FE-B6EA-A3CE82EBEDB8}"/>
    <cellStyle name="20% - Accent1 9" xfId="2264" xr:uid="{00000000-0005-0000-0000-00009E000000}"/>
    <cellStyle name="20% - Accent1 9 2" xfId="6571" xr:uid="{00000000-0005-0000-0000-00009F000000}"/>
    <cellStyle name="20% - Accent1 9 2 2" xfId="15013" xr:uid="{FC6C0EFF-121D-46EA-85C0-9F614CC643C7}"/>
    <cellStyle name="20% - Accent1 9 3" xfId="10795" xr:uid="{98335D47-4485-40A9-AD05-551B35C6CA12}"/>
    <cellStyle name="20% - Accent2" xfId="9" builtinId="34" customBuiltin="1"/>
    <cellStyle name="20% - Accent2 10" xfId="4513" xr:uid="{00000000-0005-0000-0000-0000A1000000}"/>
    <cellStyle name="20% - Accent2 10 2" xfId="12955" xr:uid="{12B2285E-69C9-412A-9ED1-F94104AD8BFD}"/>
    <cellStyle name="20% - Accent2 11" xfId="8737" xr:uid="{B1029308-19C4-4B1B-AE8D-A35BE135DBE8}"/>
    <cellStyle name="20% - Accent2 2" xfId="10" xr:uid="{00000000-0005-0000-0000-0000A2000000}"/>
    <cellStyle name="20% - Accent2 2 10" xfId="8738" xr:uid="{64796DF8-3FDD-438A-B849-D4D270DEDEA9}"/>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D3DBDFCE-A4BB-4840-9E8F-1FD49B4DE801}"/>
    <cellStyle name="20% - Accent2 2 2 2 2 2 3" xfId="11299" xr:uid="{43AEF952-D886-4CB8-895E-C5BDA447B0A6}"/>
    <cellStyle name="20% - Accent2 2 2 2 2 3" xfId="4930" xr:uid="{00000000-0005-0000-0000-0000A8000000}"/>
    <cellStyle name="20% - Accent2 2 2 2 2 3 2" xfId="13372" xr:uid="{260F6166-2A38-4A37-BBFE-370D803BEEED}"/>
    <cellStyle name="20% - Accent2 2 2 2 2 4" xfId="9154" xr:uid="{99054D93-E732-487B-AA49-36059C7E90D9}"/>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C223857E-D778-415A-860D-D7D5E0B9E7DA}"/>
    <cellStyle name="20% - Accent2 2 2 2 3 2 3" xfId="11712" xr:uid="{245B55DD-EBEE-43D5-B3CB-B504709FB275}"/>
    <cellStyle name="20% - Accent2 2 2 2 3 3" xfId="5343" xr:uid="{00000000-0005-0000-0000-0000AC000000}"/>
    <cellStyle name="20% - Accent2 2 2 2 3 3 2" xfId="13785" xr:uid="{64D4C2B9-A7A3-48DE-BE1B-391DAE0E8121}"/>
    <cellStyle name="20% - Accent2 2 2 2 3 4" xfId="9567" xr:uid="{729AE666-9FB1-4715-8F30-022B935EF417}"/>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EEC67EA7-F7FA-4D09-8B47-09199D1DAC29}"/>
    <cellStyle name="20% - Accent2 2 2 2 4 2 3" xfId="12125" xr:uid="{98460B1C-A9CC-409F-8B4F-C57304E0923F}"/>
    <cellStyle name="20% - Accent2 2 2 2 4 3" xfId="5756" xr:uid="{00000000-0005-0000-0000-0000B0000000}"/>
    <cellStyle name="20% - Accent2 2 2 2 4 3 2" xfId="14198" xr:uid="{5C320EFC-41A0-4566-9B8F-F0DCE240A5E0}"/>
    <cellStyle name="20% - Accent2 2 2 2 4 4" xfId="9980" xr:uid="{1D9F90C0-A880-4A57-8DDB-D084018F6CF1}"/>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119DB860-3F88-4941-A99D-8F3E0EAB9204}"/>
    <cellStyle name="20% - Accent2 2 2 2 5 2 3" xfId="12538" xr:uid="{82B2889B-F6EC-40E7-95B3-C294701792AD}"/>
    <cellStyle name="20% - Accent2 2 2 2 5 3" xfId="6169" xr:uid="{00000000-0005-0000-0000-0000B4000000}"/>
    <cellStyle name="20% - Accent2 2 2 2 5 3 2" xfId="14611" xr:uid="{4903B0B5-59DB-4A18-B5F7-1E0076549332}"/>
    <cellStyle name="20% - Accent2 2 2 2 5 4" xfId="10393" xr:uid="{1C2533F1-5EC9-41C2-9C17-1A144DB7EC96}"/>
    <cellStyle name="20% - Accent2 2 2 2 6" xfId="2275" xr:uid="{00000000-0005-0000-0000-0000B5000000}"/>
    <cellStyle name="20% - Accent2 2 2 2 6 2" xfId="6582" xr:uid="{00000000-0005-0000-0000-0000B6000000}"/>
    <cellStyle name="20% - Accent2 2 2 2 6 2 2" xfId="15024" xr:uid="{AC3C3D7E-2B3F-4284-BF31-8D5A5CDF683C}"/>
    <cellStyle name="20% - Accent2 2 2 2 6 3" xfId="10806" xr:uid="{DBB70E4D-1C2B-4857-8D4E-2D9CDD2BD469}"/>
    <cellStyle name="20% - Accent2 2 2 2 7" xfId="4516" xr:uid="{00000000-0005-0000-0000-0000B7000000}"/>
    <cellStyle name="20% - Accent2 2 2 2 7 2" xfId="12958" xr:uid="{A17927FB-E907-4332-853F-F89307D6D114}"/>
    <cellStyle name="20% - Accent2 2 2 2 8" xfId="8740" xr:uid="{45B7AE23-EE23-4882-A29C-70084F5BED0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9DFED481-BF94-41A3-B9E6-FE6047F1571B}"/>
    <cellStyle name="20% - Accent2 2 2 3 2 3" xfId="11298" xr:uid="{DD8398A8-463A-4FA2-8454-DC5B2AC98CFA}"/>
    <cellStyle name="20% - Accent2 2 2 3 3" xfId="4929" xr:uid="{00000000-0005-0000-0000-0000BB000000}"/>
    <cellStyle name="20% - Accent2 2 2 3 3 2" xfId="13371" xr:uid="{F1867606-B34A-4B2B-8A82-11F3F4B6F3D7}"/>
    <cellStyle name="20% - Accent2 2 2 3 4" xfId="9153" xr:uid="{B0EC329D-59F8-4D8D-8CDD-6F555859BAAA}"/>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5D3ECF98-7615-4D0A-9520-A7F569624724}"/>
    <cellStyle name="20% - Accent2 2 2 4 2 3" xfId="11711" xr:uid="{E82C0BD0-F02F-498F-BFB2-A4A7CAE0CE35}"/>
    <cellStyle name="20% - Accent2 2 2 4 3" xfId="5342" xr:uid="{00000000-0005-0000-0000-0000BF000000}"/>
    <cellStyle name="20% - Accent2 2 2 4 3 2" xfId="13784" xr:uid="{2F1820D1-B5B9-4172-A537-1DDF4B0534F1}"/>
    <cellStyle name="20% - Accent2 2 2 4 4" xfId="9566" xr:uid="{6E84C365-FC05-4552-BF92-FD22EB2C944B}"/>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1352D0C3-EDB6-47E6-8A71-F5E7C035B6BF}"/>
    <cellStyle name="20% - Accent2 2 2 5 2 3" xfId="12124" xr:uid="{49CEC8F2-B759-4B36-AFB3-915682395493}"/>
    <cellStyle name="20% - Accent2 2 2 5 3" xfId="5755" xr:uid="{00000000-0005-0000-0000-0000C3000000}"/>
    <cellStyle name="20% - Accent2 2 2 5 3 2" xfId="14197" xr:uid="{5690D0E7-697D-40DE-BF7E-8902161539C6}"/>
    <cellStyle name="20% - Accent2 2 2 5 4" xfId="9979" xr:uid="{BBF4CAEF-EBBD-4DF1-999D-C2645A9C15EC}"/>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EA7D867-DD01-497B-83F4-903DDC0C067D}"/>
    <cellStyle name="20% - Accent2 2 2 6 2 3" xfId="12537" xr:uid="{767DA765-F1C5-493A-9AFF-9C11C0B056E8}"/>
    <cellStyle name="20% - Accent2 2 2 6 3" xfId="6168" xr:uid="{00000000-0005-0000-0000-0000C7000000}"/>
    <cellStyle name="20% - Accent2 2 2 6 3 2" xfId="14610" xr:uid="{DE2DD856-3A4E-407B-9205-5B2D95360F1F}"/>
    <cellStyle name="20% - Accent2 2 2 6 4" xfId="10392" xr:uid="{A35587C5-10CD-46AD-82C7-E36063F647F5}"/>
    <cellStyle name="20% - Accent2 2 2 7" xfId="2274" xr:uid="{00000000-0005-0000-0000-0000C8000000}"/>
    <cellStyle name="20% - Accent2 2 2 7 2" xfId="6581" xr:uid="{00000000-0005-0000-0000-0000C9000000}"/>
    <cellStyle name="20% - Accent2 2 2 7 2 2" xfId="15023" xr:uid="{4AEA2D5E-722D-4DCF-8817-A9E97089CF14}"/>
    <cellStyle name="20% - Accent2 2 2 7 3" xfId="10805" xr:uid="{408ACC15-44D7-49C1-B666-71ACBFA581C9}"/>
    <cellStyle name="20% - Accent2 2 2 8" xfId="4515" xr:uid="{00000000-0005-0000-0000-0000CA000000}"/>
    <cellStyle name="20% - Accent2 2 2 8 2" xfId="12957" xr:uid="{9C268B57-1863-41C3-A8CA-70CF11645175}"/>
    <cellStyle name="20% - Accent2 2 2 9" xfId="8739" xr:uid="{487B73C2-8B91-4707-A509-9A772811319B}"/>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003FA6C2-5D2D-4D72-B461-63712AEBFA2B}"/>
    <cellStyle name="20% - Accent2 2 3 2 2 3" xfId="11300" xr:uid="{F40997E7-E57C-4154-A63C-E20000FB5B69}"/>
    <cellStyle name="20% - Accent2 2 3 2 3" xfId="4931" xr:uid="{00000000-0005-0000-0000-0000CF000000}"/>
    <cellStyle name="20% - Accent2 2 3 2 3 2" xfId="13373" xr:uid="{2F23DB89-6D7C-4361-AEDC-2FCF27ACED67}"/>
    <cellStyle name="20% - Accent2 2 3 2 4" xfId="9155" xr:uid="{3668CB36-6B67-40C1-B289-1786258D4E01}"/>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8279767C-0EF8-46B2-8906-51831372E2A5}"/>
    <cellStyle name="20% - Accent2 2 3 3 2 3" xfId="11713" xr:uid="{9189E3BB-0613-43E8-A831-B25C409C7272}"/>
    <cellStyle name="20% - Accent2 2 3 3 3" xfId="5344" xr:uid="{00000000-0005-0000-0000-0000D3000000}"/>
    <cellStyle name="20% - Accent2 2 3 3 3 2" xfId="13786" xr:uid="{3FD2DAFD-11FC-4651-B682-F0E0BB2166CB}"/>
    <cellStyle name="20% - Accent2 2 3 3 4" xfId="9568" xr:uid="{6B4A48FB-894C-4803-ACCE-54C7E042D27C}"/>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19C211E7-B3EC-4388-90BC-6CFB80DFD478}"/>
    <cellStyle name="20% - Accent2 2 3 4 2 3" xfId="12126" xr:uid="{BC30D2FA-0D16-45FB-BDA9-ABB99844FA05}"/>
    <cellStyle name="20% - Accent2 2 3 4 3" xfId="5757" xr:uid="{00000000-0005-0000-0000-0000D7000000}"/>
    <cellStyle name="20% - Accent2 2 3 4 3 2" xfId="14199" xr:uid="{A638E88E-CCA3-4F72-A0F3-4138ED1D9AB3}"/>
    <cellStyle name="20% - Accent2 2 3 4 4" xfId="9981" xr:uid="{163CB1A0-8DB3-4FC8-BDA4-9AB0AAE83D5C}"/>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644EC82F-0349-42EE-959F-1F12192B0629}"/>
    <cellStyle name="20% - Accent2 2 3 5 2 3" xfId="12539" xr:uid="{771C6C75-C885-4CF1-BE95-8C38859A29A2}"/>
    <cellStyle name="20% - Accent2 2 3 5 3" xfId="6170" xr:uid="{00000000-0005-0000-0000-0000DB000000}"/>
    <cellStyle name="20% - Accent2 2 3 5 3 2" xfId="14612" xr:uid="{5DCAC66F-441D-48E7-B7DB-BD68310BC532}"/>
    <cellStyle name="20% - Accent2 2 3 5 4" xfId="10394" xr:uid="{60A14246-7208-427A-8035-19CF803D2833}"/>
    <cellStyle name="20% - Accent2 2 3 6" xfId="2276" xr:uid="{00000000-0005-0000-0000-0000DC000000}"/>
    <cellStyle name="20% - Accent2 2 3 6 2" xfId="6583" xr:uid="{00000000-0005-0000-0000-0000DD000000}"/>
    <cellStyle name="20% - Accent2 2 3 6 2 2" xfId="15025" xr:uid="{3DBFDB5D-3975-44E6-BF92-C24E9DFFE9A2}"/>
    <cellStyle name="20% - Accent2 2 3 6 3" xfId="10807" xr:uid="{C3D165F6-4E2C-46D6-95F4-02ABA6E39F2F}"/>
    <cellStyle name="20% - Accent2 2 3 7" xfId="4517" xr:uid="{00000000-0005-0000-0000-0000DE000000}"/>
    <cellStyle name="20% - Accent2 2 3 7 2" xfId="12959" xr:uid="{3A6DD01C-3B20-4C31-AF96-047CAA153C5E}"/>
    <cellStyle name="20% - Accent2 2 3 8" xfId="8741" xr:uid="{1845C763-547A-433E-9FE2-5135E22DC1E6}"/>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34467F27-B532-4F22-83CC-DC9C1318F7B2}"/>
    <cellStyle name="20% - Accent2 2 4 2 3" xfId="11297" xr:uid="{A653EBCF-EF37-4AD0-A6B0-339CB58955BC}"/>
    <cellStyle name="20% - Accent2 2 4 3" xfId="4928" xr:uid="{00000000-0005-0000-0000-0000E2000000}"/>
    <cellStyle name="20% - Accent2 2 4 3 2" xfId="13370" xr:uid="{8058EF28-9839-48D0-AFBC-0FC4C6193221}"/>
    <cellStyle name="20% - Accent2 2 4 4" xfId="9152" xr:uid="{6447861D-515C-4577-946B-101B0ABBC26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B3AD81F1-230A-4391-A45E-DDA6D8FBFA34}"/>
    <cellStyle name="20% - Accent2 2 5 2 3" xfId="11710" xr:uid="{A420C138-D3AD-47AA-ABB2-C1DDA1C9CED5}"/>
    <cellStyle name="20% - Accent2 2 5 3" xfId="5341" xr:uid="{00000000-0005-0000-0000-0000E6000000}"/>
    <cellStyle name="20% - Accent2 2 5 3 2" xfId="13783" xr:uid="{4B0D95CB-6416-4A3E-956D-1D1728A4429D}"/>
    <cellStyle name="20% - Accent2 2 5 4" xfId="9565" xr:uid="{D3384E1B-F9C5-4E81-A8BC-1C5B02DC6B83}"/>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2467B5D3-F36E-49BC-9BFC-C72F8EB32C32}"/>
    <cellStyle name="20% - Accent2 2 6 2 3" xfId="12123" xr:uid="{E7D9484B-AFCC-4A41-BDB3-B7021FAE1B5D}"/>
    <cellStyle name="20% - Accent2 2 6 3" xfId="5754" xr:uid="{00000000-0005-0000-0000-0000EA000000}"/>
    <cellStyle name="20% - Accent2 2 6 3 2" xfId="14196" xr:uid="{426B8392-4BF3-4944-98AA-D527A04F5BD1}"/>
    <cellStyle name="20% - Accent2 2 6 4" xfId="9978" xr:uid="{BE863847-F986-4727-AAE9-A2BEB2E3D48E}"/>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9C58CE1D-9614-4B99-8EDD-B771D1B17E09}"/>
    <cellStyle name="20% - Accent2 2 7 2 3" xfId="12536" xr:uid="{C424731D-A56E-4BFC-8514-2409F1E0D2B5}"/>
    <cellStyle name="20% - Accent2 2 7 3" xfId="6167" xr:uid="{00000000-0005-0000-0000-0000EE000000}"/>
    <cellStyle name="20% - Accent2 2 7 3 2" xfId="14609" xr:uid="{EFC72E16-B2E8-4570-A1CA-E6A93E88D6D0}"/>
    <cellStyle name="20% - Accent2 2 7 4" xfId="10391" xr:uid="{2E80D6F3-32F5-4255-A938-0952B8D2E163}"/>
    <cellStyle name="20% - Accent2 2 8" xfId="2273" xr:uid="{00000000-0005-0000-0000-0000EF000000}"/>
    <cellStyle name="20% - Accent2 2 8 2" xfId="6580" xr:uid="{00000000-0005-0000-0000-0000F0000000}"/>
    <cellStyle name="20% - Accent2 2 8 2 2" xfId="15022" xr:uid="{85D960E1-D0D3-4AD5-BE46-68EBA7EC7806}"/>
    <cellStyle name="20% - Accent2 2 8 3" xfId="10804" xr:uid="{10A7558F-4AB9-482A-AAB9-0641FDCF70EF}"/>
    <cellStyle name="20% - Accent2 2 9" xfId="4514" xr:uid="{00000000-0005-0000-0000-0000F1000000}"/>
    <cellStyle name="20% - Accent2 2 9 2" xfId="12956" xr:uid="{F23837E8-890C-4654-966D-4C4558BC123D}"/>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B71E0DA8-CEB4-41C3-A2DA-7BEB161187C4}"/>
    <cellStyle name="20% - Accent2 3 2 2 2 3" xfId="11302" xr:uid="{BFE3D863-1F3B-47C6-B57F-0A72AD983352}"/>
    <cellStyle name="20% - Accent2 3 2 2 3" xfId="4933" xr:uid="{00000000-0005-0000-0000-0000F7000000}"/>
    <cellStyle name="20% - Accent2 3 2 2 3 2" xfId="13375" xr:uid="{7706E310-1062-413A-A7B5-1807FC21D965}"/>
    <cellStyle name="20% - Accent2 3 2 2 4" xfId="9157" xr:uid="{1C5B3C36-019F-4720-A03D-58966C77D661}"/>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77DAB0BB-6066-4BA6-A2BB-BDDAE64B2683}"/>
    <cellStyle name="20% - Accent2 3 2 3 2 3" xfId="11715" xr:uid="{844BD170-667B-4145-B7C3-781651BB715E}"/>
    <cellStyle name="20% - Accent2 3 2 3 3" xfId="5346" xr:uid="{00000000-0005-0000-0000-0000FB000000}"/>
    <cellStyle name="20% - Accent2 3 2 3 3 2" xfId="13788" xr:uid="{99A205C6-771F-4829-A9B5-A6CA7E6FB1AD}"/>
    <cellStyle name="20% - Accent2 3 2 3 4" xfId="9570" xr:uid="{3C9D55F1-ACBF-4E4D-8CAB-742717AB3F7C}"/>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F028E9A0-D255-4A61-A18E-79E6936127FB}"/>
    <cellStyle name="20% - Accent2 3 2 4 2 3" xfId="12128" xr:uid="{0D99BE02-F871-4FA7-B960-3524F424FD32}"/>
    <cellStyle name="20% - Accent2 3 2 4 3" xfId="5759" xr:uid="{00000000-0005-0000-0000-0000FF000000}"/>
    <cellStyle name="20% - Accent2 3 2 4 3 2" xfId="14201" xr:uid="{98507B9B-1C14-4A99-8B7C-4E0238DAB255}"/>
    <cellStyle name="20% - Accent2 3 2 4 4" xfId="9983" xr:uid="{E149E759-CEBB-4283-8344-9EF85F0CCEE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AC1307CD-D316-4607-A36F-F8F3CEBB996C}"/>
    <cellStyle name="20% - Accent2 3 2 5 2 3" xfId="12541" xr:uid="{23B8F4C1-8331-463F-B36A-F3C9DF449544}"/>
    <cellStyle name="20% - Accent2 3 2 5 3" xfId="6172" xr:uid="{00000000-0005-0000-0000-000003010000}"/>
    <cellStyle name="20% - Accent2 3 2 5 3 2" xfId="14614" xr:uid="{3E59E108-D2AA-4DF5-B0EC-9D7CF5C77515}"/>
    <cellStyle name="20% - Accent2 3 2 5 4" xfId="10396" xr:uid="{28C77C42-A3B1-440C-B4F1-FB74BC788E0D}"/>
    <cellStyle name="20% - Accent2 3 2 6" xfId="2278" xr:uid="{00000000-0005-0000-0000-000004010000}"/>
    <cellStyle name="20% - Accent2 3 2 6 2" xfId="6585" xr:uid="{00000000-0005-0000-0000-000005010000}"/>
    <cellStyle name="20% - Accent2 3 2 6 2 2" xfId="15027" xr:uid="{79AEBBE3-7526-4E6B-ADED-6311AB26F5D6}"/>
    <cellStyle name="20% - Accent2 3 2 6 3" xfId="10809" xr:uid="{E9612402-EC3B-4263-A858-E0B913C64CA6}"/>
    <cellStyle name="20% - Accent2 3 2 7" xfId="4519" xr:uid="{00000000-0005-0000-0000-000006010000}"/>
    <cellStyle name="20% - Accent2 3 2 7 2" xfId="12961" xr:uid="{B61A2046-8FB7-4EBB-860F-1C3F4EFB3394}"/>
    <cellStyle name="20% - Accent2 3 2 8" xfId="8743" xr:uid="{FC51B451-1882-4B0F-88DF-E97C03FDCDC1}"/>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2BF0E1CA-8CB3-4DD0-A09F-8420DEA5B6C9}"/>
    <cellStyle name="20% - Accent2 3 3 2 3" xfId="11301" xr:uid="{AB035ECA-66AB-4EAB-87A7-129B05470C3A}"/>
    <cellStyle name="20% - Accent2 3 3 3" xfId="4932" xr:uid="{00000000-0005-0000-0000-00000A010000}"/>
    <cellStyle name="20% - Accent2 3 3 3 2" xfId="13374" xr:uid="{4BE7EE3F-2519-4F41-94FB-18D7743197E8}"/>
    <cellStyle name="20% - Accent2 3 3 4" xfId="9156" xr:uid="{E6581AE4-533D-4523-9FF7-DB774F47A4DF}"/>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47C34E8A-F041-4095-B206-B3891CDDD2B4}"/>
    <cellStyle name="20% - Accent2 3 4 2 3" xfId="11714" xr:uid="{B68EC4F6-8A4F-433B-9EE5-92A7BCED38FB}"/>
    <cellStyle name="20% - Accent2 3 4 3" xfId="5345" xr:uid="{00000000-0005-0000-0000-00000E010000}"/>
    <cellStyle name="20% - Accent2 3 4 3 2" xfId="13787" xr:uid="{39967E08-411D-4953-8BE4-5527D73B6269}"/>
    <cellStyle name="20% - Accent2 3 4 4" xfId="9569" xr:uid="{63B4395A-C34F-4678-9415-02FD3888BAF6}"/>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5881211D-996E-4FF1-B30E-A7484CABCC88}"/>
    <cellStyle name="20% - Accent2 3 5 2 3" xfId="12127" xr:uid="{8E8AAB51-1715-49A6-9BA9-874ED137A391}"/>
    <cellStyle name="20% - Accent2 3 5 3" xfId="5758" xr:uid="{00000000-0005-0000-0000-000012010000}"/>
    <cellStyle name="20% - Accent2 3 5 3 2" xfId="14200" xr:uid="{7AD40C03-4711-4FF3-9A68-B2695DB04D4D}"/>
    <cellStyle name="20% - Accent2 3 5 4" xfId="9982" xr:uid="{AEC82774-CFAC-463F-A2EA-199B4A2BCF04}"/>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8D29E260-EABB-495D-8BFA-DD181500AEFF}"/>
    <cellStyle name="20% - Accent2 3 6 2 3" xfId="12540" xr:uid="{E9E28E07-C557-46A5-A305-C7E276323D2F}"/>
    <cellStyle name="20% - Accent2 3 6 3" xfId="6171" xr:uid="{00000000-0005-0000-0000-000016010000}"/>
    <cellStyle name="20% - Accent2 3 6 3 2" xfId="14613" xr:uid="{97874EE9-058A-4B04-87C6-9F993E78837E}"/>
    <cellStyle name="20% - Accent2 3 6 4" xfId="10395" xr:uid="{2419B88D-973F-4A9D-B0C4-191532965A27}"/>
    <cellStyle name="20% - Accent2 3 7" xfId="2277" xr:uid="{00000000-0005-0000-0000-000017010000}"/>
    <cellStyle name="20% - Accent2 3 7 2" xfId="6584" xr:uid="{00000000-0005-0000-0000-000018010000}"/>
    <cellStyle name="20% - Accent2 3 7 2 2" xfId="15026" xr:uid="{FC117794-29AB-4062-9E22-F6D8A774CDCA}"/>
    <cellStyle name="20% - Accent2 3 7 3" xfId="10808" xr:uid="{DE047CE8-4FBD-4FD0-B103-851C66945079}"/>
    <cellStyle name="20% - Accent2 3 8" xfId="4518" xr:uid="{00000000-0005-0000-0000-000019010000}"/>
    <cellStyle name="20% - Accent2 3 8 2" xfId="12960" xr:uid="{4BFE31FB-3753-4F87-98A3-A179D48E955F}"/>
    <cellStyle name="20% - Accent2 3 9" xfId="8742" xr:uid="{222F2892-D599-44AB-AEA0-30C139A5B3F6}"/>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C8B7369E-A8F3-4D03-AA18-7F9E14D69A99}"/>
    <cellStyle name="20% - Accent2 4 2 2 3" xfId="11303" xr:uid="{BEC92F7C-13F4-48C7-8857-8BAF976295C9}"/>
    <cellStyle name="20% - Accent2 4 2 3" xfId="4934" xr:uid="{00000000-0005-0000-0000-00001E010000}"/>
    <cellStyle name="20% - Accent2 4 2 3 2" xfId="13376" xr:uid="{9B52C460-B26F-48B6-AAA1-2A9E144A1744}"/>
    <cellStyle name="20% - Accent2 4 2 4" xfId="9158" xr:uid="{7B19D07E-ADDD-4F85-9AC3-2FC8DB3761A8}"/>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699AC82A-FFE2-499E-8AE6-135EF11DF9A8}"/>
    <cellStyle name="20% - Accent2 4 3 2 3" xfId="11716" xr:uid="{4E62EC82-7224-4BA3-9BDE-916E3D67041B}"/>
    <cellStyle name="20% - Accent2 4 3 3" xfId="5347" xr:uid="{00000000-0005-0000-0000-000022010000}"/>
    <cellStyle name="20% - Accent2 4 3 3 2" xfId="13789" xr:uid="{6287532D-D2A4-4DB0-BE1B-B5FAC018A1D1}"/>
    <cellStyle name="20% - Accent2 4 3 4" xfId="9571" xr:uid="{3388748C-4A49-47C7-A0BD-4897F9D73C2F}"/>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49EDCEE6-B759-4F47-910D-346E51E64EED}"/>
    <cellStyle name="20% - Accent2 4 4 2 3" xfId="12129" xr:uid="{2DDDEE91-5188-4FA3-B47B-A12300B7E121}"/>
    <cellStyle name="20% - Accent2 4 4 3" xfId="5760" xr:uid="{00000000-0005-0000-0000-000026010000}"/>
    <cellStyle name="20% - Accent2 4 4 3 2" xfId="14202" xr:uid="{9A29B465-A5BF-4266-BE50-670A9CF25E64}"/>
    <cellStyle name="20% - Accent2 4 4 4" xfId="9984" xr:uid="{942DF0CF-1F1E-4496-9836-6D4A6EE5D31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8CAE0BCA-0238-429E-9504-2FC083AE479B}"/>
    <cellStyle name="20% - Accent2 4 5 2 3" xfId="12542" xr:uid="{92765654-8381-4575-AEBC-398EC4B57404}"/>
    <cellStyle name="20% - Accent2 4 5 3" xfId="6173" xr:uid="{00000000-0005-0000-0000-00002A010000}"/>
    <cellStyle name="20% - Accent2 4 5 3 2" xfId="14615" xr:uid="{1031453D-5927-4685-B738-C0ACBAA01F09}"/>
    <cellStyle name="20% - Accent2 4 5 4" xfId="10397" xr:uid="{C63F04F3-1C08-4729-A6CD-9A11C5C6F323}"/>
    <cellStyle name="20% - Accent2 4 6" xfId="2279" xr:uid="{00000000-0005-0000-0000-00002B010000}"/>
    <cellStyle name="20% - Accent2 4 6 2" xfId="6586" xr:uid="{00000000-0005-0000-0000-00002C010000}"/>
    <cellStyle name="20% - Accent2 4 6 2 2" xfId="15028" xr:uid="{7483FA3D-5CDD-4AA4-A7BD-9FDA7A9DEFD4}"/>
    <cellStyle name="20% - Accent2 4 6 3" xfId="10810" xr:uid="{045525B6-3DAF-435C-905C-5C2FAD55B851}"/>
    <cellStyle name="20% - Accent2 4 7" xfId="4520" xr:uid="{00000000-0005-0000-0000-00002D010000}"/>
    <cellStyle name="20% - Accent2 4 7 2" xfId="12962" xr:uid="{7C30E42F-7AF9-4800-9995-921CA0CA2E51}"/>
    <cellStyle name="20% - Accent2 4 8" xfId="8744" xr:uid="{51294838-9D27-43ED-9326-203A7C965A9D}"/>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A967BABA-6541-404A-8C01-370D22B7C138}"/>
    <cellStyle name="20% - Accent2 5 2 3" xfId="11296" xr:uid="{46DE6037-3E77-4804-8BFB-3C9CBA99041C}"/>
    <cellStyle name="20% - Accent2 5 3" xfId="4927" xr:uid="{00000000-0005-0000-0000-000031010000}"/>
    <cellStyle name="20% - Accent2 5 3 2" xfId="13369" xr:uid="{62AD2CD7-D8A4-4A65-B99B-95AD43E463AC}"/>
    <cellStyle name="20% - Accent2 5 4" xfId="9151" xr:uid="{9A478126-C8C4-40FC-8BD5-C90F64AB46CD}"/>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94E3B78A-4C03-416F-951F-3E19125D8E38}"/>
    <cellStyle name="20% - Accent2 6 2 3" xfId="11709" xr:uid="{ECF66ED1-2402-4787-BB09-5D110DB76182}"/>
    <cellStyle name="20% - Accent2 6 3" xfId="5340" xr:uid="{00000000-0005-0000-0000-000035010000}"/>
    <cellStyle name="20% - Accent2 6 3 2" xfId="13782" xr:uid="{BE7BBD87-B3C8-4708-B99D-D1A74D1776F8}"/>
    <cellStyle name="20% - Accent2 6 4" xfId="9564" xr:uid="{DFC3B196-E408-41B5-A8EF-7198C8BB2CE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B1B62A4E-26E2-4E85-AC62-9EC3FDF93602}"/>
    <cellStyle name="20% - Accent2 7 2 3" xfId="12122" xr:uid="{92C333E1-B395-4F33-B49E-9855E7CB011B}"/>
    <cellStyle name="20% - Accent2 7 3" xfId="5753" xr:uid="{00000000-0005-0000-0000-000039010000}"/>
    <cellStyle name="20% - Accent2 7 3 2" xfId="14195" xr:uid="{1E8506A8-B716-4562-8958-FDE06CD4904F}"/>
    <cellStyle name="20% - Accent2 7 4" xfId="9977" xr:uid="{E39F4942-B081-44FE-A889-98A7606317FB}"/>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7DD8E556-1BEF-4A69-B6CC-886CADD33063}"/>
    <cellStyle name="20% - Accent2 8 2 3" xfId="12535" xr:uid="{3078E2C2-182F-4273-AA3C-45F4B03076F5}"/>
    <cellStyle name="20% - Accent2 8 3" xfId="6166" xr:uid="{00000000-0005-0000-0000-00003D010000}"/>
    <cellStyle name="20% - Accent2 8 3 2" xfId="14608" xr:uid="{0DB934DE-B726-4BE9-966D-0A3C22E4EB08}"/>
    <cellStyle name="20% - Accent2 8 4" xfId="10390" xr:uid="{7088955A-60C4-47B7-B0FA-EAEDB92A20F8}"/>
    <cellStyle name="20% - Accent2 9" xfId="2272" xr:uid="{00000000-0005-0000-0000-00003E010000}"/>
    <cellStyle name="20% - Accent2 9 2" xfId="6579" xr:uid="{00000000-0005-0000-0000-00003F010000}"/>
    <cellStyle name="20% - Accent2 9 2 2" xfId="15021" xr:uid="{3766DBD8-1698-47DB-90D6-984DD565D5A4}"/>
    <cellStyle name="20% - Accent2 9 3" xfId="10803" xr:uid="{AAE95AC7-9350-4DDB-919F-CDCB7A81C3BA}"/>
    <cellStyle name="20% - Accent3" xfId="17" builtinId="38" customBuiltin="1"/>
    <cellStyle name="20% - Accent3 10" xfId="4521" xr:uid="{00000000-0005-0000-0000-000041010000}"/>
    <cellStyle name="20% - Accent3 10 2" xfId="12963" xr:uid="{D0A9B858-7D11-4797-B303-3ED82DDAD683}"/>
    <cellStyle name="20% - Accent3 11" xfId="8745" xr:uid="{FD4A6E25-2269-4CAE-A89F-D723C1B88553}"/>
    <cellStyle name="20% - Accent3 2" xfId="18" xr:uid="{00000000-0005-0000-0000-000042010000}"/>
    <cellStyle name="20% - Accent3 2 10" xfId="8746" xr:uid="{06052A17-1F27-4880-8365-4BF630A3464F}"/>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5384862E-9AFE-46A4-A88C-21D2EE62C798}"/>
    <cellStyle name="20% - Accent3 2 2 2 2 2 3" xfId="11307" xr:uid="{4A6AE7D5-8034-4EDF-988D-EAA4094CEFD5}"/>
    <cellStyle name="20% - Accent3 2 2 2 2 3" xfId="4938" xr:uid="{00000000-0005-0000-0000-000048010000}"/>
    <cellStyle name="20% - Accent3 2 2 2 2 3 2" xfId="13380" xr:uid="{2C95639D-E538-4DE7-8B96-524068FD0377}"/>
    <cellStyle name="20% - Accent3 2 2 2 2 4" xfId="9162" xr:uid="{1E822517-04E8-4D13-867A-F6ACAB98F97C}"/>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5E4F435C-B745-45B5-B12E-569141767294}"/>
    <cellStyle name="20% - Accent3 2 2 2 3 2 3" xfId="11720" xr:uid="{6416A904-3485-4B14-A0EB-5B1D4F2D4F86}"/>
    <cellStyle name="20% - Accent3 2 2 2 3 3" xfId="5351" xr:uid="{00000000-0005-0000-0000-00004C010000}"/>
    <cellStyle name="20% - Accent3 2 2 2 3 3 2" xfId="13793" xr:uid="{F2823CAF-67DF-4461-9F60-5A5CFF6C2F22}"/>
    <cellStyle name="20% - Accent3 2 2 2 3 4" xfId="9575" xr:uid="{4B80CFD8-D957-42B5-A66D-67585027C0E6}"/>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021FD224-09C2-443A-833E-B2FB2744C773}"/>
    <cellStyle name="20% - Accent3 2 2 2 4 2 3" xfId="12133" xr:uid="{B6BC5FAF-174C-403A-BB3C-49A387D78569}"/>
    <cellStyle name="20% - Accent3 2 2 2 4 3" xfId="5764" xr:uid="{00000000-0005-0000-0000-000050010000}"/>
    <cellStyle name="20% - Accent3 2 2 2 4 3 2" xfId="14206" xr:uid="{4924FB23-C49D-442C-9DF7-E2C3593FA2CC}"/>
    <cellStyle name="20% - Accent3 2 2 2 4 4" xfId="9988" xr:uid="{26421AB7-491A-4227-BEB8-21BC26F13BC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F7BC1261-14A9-4864-BA35-017473963FF0}"/>
    <cellStyle name="20% - Accent3 2 2 2 5 2 3" xfId="12546" xr:uid="{2E07698C-A5CE-44FE-BB30-32C5AB516CFA}"/>
    <cellStyle name="20% - Accent3 2 2 2 5 3" xfId="6177" xr:uid="{00000000-0005-0000-0000-000054010000}"/>
    <cellStyle name="20% - Accent3 2 2 2 5 3 2" xfId="14619" xr:uid="{046A9383-4D4E-4B7D-90FB-539BE4814F78}"/>
    <cellStyle name="20% - Accent3 2 2 2 5 4" xfId="10401" xr:uid="{EDC3B07D-6A44-47C4-A650-4F80417F7278}"/>
    <cellStyle name="20% - Accent3 2 2 2 6" xfId="2283" xr:uid="{00000000-0005-0000-0000-000055010000}"/>
    <cellStyle name="20% - Accent3 2 2 2 6 2" xfId="6590" xr:uid="{00000000-0005-0000-0000-000056010000}"/>
    <cellStyle name="20% - Accent3 2 2 2 6 2 2" xfId="15032" xr:uid="{A940F215-7C59-4BE3-B713-D932779790E2}"/>
    <cellStyle name="20% - Accent3 2 2 2 6 3" xfId="10814" xr:uid="{0B705FB8-D20C-4BE5-825C-0B3C62AE415F}"/>
    <cellStyle name="20% - Accent3 2 2 2 7" xfId="4524" xr:uid="{00000000-0005-0000-0000-000057010000}"/>
    <cellStyle name="20% - Accent3 2 2 2 7 2" xfId="12966" xr:uid="{CE66C369-34B8-43CD-A68C-3BA2E3E632F6}"/>
    <cellStyle name="20% - Accent3 2 2 2 8" xfId="8748" xr:uid="{7BBA1AA1-D0E5-462F-9176-8209078D2633}"/>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D6CF5F1E-CD42-48E6-8513-D971EF935A48}"/>
    <cellStyle name="20% - Accent3 2 2 3 2 3" xfId="11306" xr:uid="{E5FF5063-EFD8-4281-AB1E-958D9FF9D7A6}"/>
    <cellStyle name="20% - Accent3 2 2 3 3" xfId="4937" xr:uid="{00000000-0005-0000-0000-00005B010000}"/>
    <cellStyle name="20% - Accent3 2 2 3 3 2" xfId="13379" xr:uid="{A334610F-5BDF-4B89-89D2-B187E24EFFC2}"/>
    <cellStyle name="20% - Accent3 2 2 3 4" xfId="9161" xr:uid="{203B8B31-AD17-4A10-B9AB-CEF631DB182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19EB075-3F97-415B-80D8-55150F8C4E48}"/>
    <cellStyle name="20% - Accent3 2 2 4 2 3" xfId="11719" xr:uid="{10D725CB-9AE1-4FDD-BBD7-FA42A3D398A5}"/>
    <cellStyle name="20% - Accent3 2 2 4 3" xfId="5350" xr:uid="{00000000-0005-0000-0000-00005F010000}"/>
    <cellStyle name="20% - Accent3 2 2 4 3 2" xfId="13792" xr:uid="{948A67BD-CD1E-412D-8E07-0A0C2BACD482}"/>
    <cellStyle name="20% - Accent3 2 2 4 4" xfId="9574" xr:uid="{4419B827-3ADB-4F56-B501-0F9BAE12189E}"/>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901E5A25-D038-4CCF-A4E5-407375C9CDFE}"/>
    <cellStyle name="20% - Accent3 2 2 5 2 3" xfId="12132" xr:uid="{20BFFD59-66BF-4347-A424-75D5EA80892D}"/>
    <cellStyle name="20% - Accent3 2 2 5 3" xfId="5763" xr:uid="{00000000-0005-0000-0000-000063010000}"/>
    <cellStyle name="20% - Accent3 2 2 5 3 2" xfId="14205" xr:uid="{2D17ED8B-3916-4578-907D-A126F9A93E4C}"/>
    <cellStyle name="20% - Accent3 2 2 5 4" xfId="9987" xr:uid="{3391E28D-196B-4598-9F70-864A416107DB}"/>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73EC2D1B-8B51-4F20-AAE0-92F181234451}"/>
    <cellStyle name="20% - Accent3 2 2 6 2 3" xfId="12545" xr:uid="{BDD560CD-CAA6-419E-BB27-9073BA24BD79}"/>
    <cellStyle name="20% - Accent3 2 2 6 3" xfId="6176" xr:uid="{00000000-0005-0000-0000-000067010000}"/>
    <cellStyle name="20% - Accent3 2 2 6 3 2" xfId="14618" xr:uid="{C62DA167-8E2C-4F0F-BABF-8C966DBF52B4}"/>
    <cellStyle name="20% - Accent3 2 2 6 4" xfId="10400" xr:uid="{C7053D98-1A50-4884-AFCC-F931E16B748C}"/>
    <cellStyle name="20% - Accent3 2 2 7" xfId="2282" xr:uid="{00000000-0005-0000-0000-000068010000}"/>
    <cellStyle name="20% - Accent3 2 2 7 2" xfId="6589" xr:uid="{00000000-0005-0000-0000-000069010000}"/>
    <cellStyle name="20% - Accent3 2 2 7 2 2" xfId="15031" xr:uid="{4F28C4CB-0D9F-464E-B2D1-499DB19B6EE2}"/>
    <cellStyle name="20% - Accent3 2 2 7 3" xfId="10813" xr:uid="{4286542D-FB9C-4058-AB4D-9BC902C34D94}"/>
    <cellStyle name="20% - Accent3 2 2 8" xfId="4523" xr:uid="{00000000-0005-0000-0000-00006A010000}"/>
    <cellStyle name="20% - Accent3 2 2 8 2" xfId="12965" xr:uid="{C35767C6-FE6F-4990-B00A-05AD18E401FB}"/>
    <cellStyle name="20% - Accent3 2 2 9" xfId="8747" xr:uid="{06D49FA0-955C-414A-B8DA-CEF68CCF256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33E93EDC-726A-4924-8A16-4B19A6FB7858}"/>
    <cellStyle name="20% - Accent3 2 3 2 2 3" xfId="11308" xr:uid="{67EF1299-740A-4DB8-B7EB-701BCDAA4D25}"/>
    <cellStyle name="20% - Accent3 2 3 2 3" xfId="4939" xr:uid="{00000000-0005-0000-0000-00006F010000}"/>
    <cellStyle name="20% - Accent3 2 3 2 3 2" xfId="13381" xr:uid="{6455E4C2-BD75-4B04-8927-4FB23B37E6B9}"/>
    <cellStyle name="20% - Accent3 2 3 2 4" xfId="9163" xr:uid="{6117CF0F-1834-4E71-8136-B9EB526C6D9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63E63B0E-1009-4A07-BA52-99219D6EFD6C}"/>
    <cellStyle name="20% - Accent3 2 3 3 2 3" xfId="11721" xr:uid="{E1456E91-EFCA-4A9A-A81E-2094BE5670A2}"/>
    <cellStyle name="20% - Accent3 2 3 3 3" xfId="5352" xr:uid="{00000000-0005-0000-0000-000073010000}"/>
    <cellStyle name="20% - Accent3 2 3 3 3 2" xfId="13794" xr:uid="{6814204A-172C-4EBC-9D08-1251FDC0569C}"/>
    <cellStyle name="20% - Accent3 2 3 3 4" xfId="9576" xr:uid="{24E39CBF-8051-4FE0-A045-3311B7351D08}"/>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A24E01BB-3FD5-4A5D-A9B0-81B42812B520}"/>
    <cellStyle name="20% - Accent3 2 3 4 2 3" xfId="12134" xr:uid="{5FA6623B-B6C6-4DE2-A267-AD9F59F2FFA6}"/>
    <cellStyle name="20% - Accent3 2 3 4 3" xfId="5765" xr:uid="{00000000-0005-0000-0000-000077010000}"/>
    <cellStyle name="20% - Accent3 2 3 4 3 2" xfId="14207" xr:uid="{7261C83C-DD30-48FB-A45A-1B82156F4C2B}"/>
    <cellStyle name="20% - Accent3 2 3 4 4" xfId="9989" xr:uid="{294AB1BB-8A8B-4D46-B589-596E641799D1}"/>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0C9313DF-992F-44C6-9267-DBC9A9F5D5C8}"/>
    <cellStyle name="20% - Accent3 2 3 5 2 3" xfId="12547" xr:uid="{7EAB2C16-1D91-44F4-8792-A5D10FDD0410}"/>
    <cellStyle name="20% - Accent3 2 3 5 3" xfId="6178" xr:uid="{00000000-0005-0000-0000-00007B010000}"/>
    <cellStyle name="20% - Accent3 2 3 5 3 2" xfId="14620" xr:uid="{36D9A90B-D7A7-466B-B17C-25E5FD9DB71E}"/>
    <cellStyle name="20% - Accent3 2 3 5 4" xfId="10402" xr:uid="{7E3C198B-4BE2-40F7-89A8-5BF90E634083}"/>
    <cellStyle name="20% - Accent3 2 3 6" xfId="2284" xr:uid="{00000000-0005-0000-0000-00007C010000}"/>
    <cellStyle name="20% - Accent3 2 3 6 2" xfId="6591" xr:uid="{00000000-0005-0000-0000-00007D010000}"/>
    <cellStyle name="20% - Accent3 2 3 6 2 2" xfId="15033" xr:uid="{CEEF911D-5484-416B-88C5-05D4C45995E2}"/>
    <cellStyle name="20% - Accent3 2 3 6 3" xfId="10815" xr:uid="{BA7B5954-873B-4D36-BA85-E4A5EA66B41C}"/>
    <cellStyle name="20% - Accent3 2 3 7" xfId="4525" xr:uid="{00000000-0005-0000-0000-00007E010000}"/>
    <cellStyle name="20% - Accent3 2 3 7 2" xfId="12967" xr:uid="{A857B375-1DF6-42E1-94BE-36A8E12C47F2}"/>
    <cellStyle name="20% - Accent3 2 3 8" xfId="8749" xr:uid="{6E9A9F55-1182-4849-BC09-4C9300240B30}"/>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A3B4985E-79D4-4E39-833A-08DE5099FD28}"/>
    <cellStyle name="20% - Accent3 2 4 2 3" xfId="11305" xr:uid="{6158F19C-B36E-4360-8655-C8ACE4DCFD16}"/>
    <cellStyle name="20% - Accent3 2 4 3" xfId="4936" xr:uid="{00000000-0005-0000-0000-000082010000}"/>
    <cellStyle name="20% - Accent3 2 4 3 2" xfId="13378" xr:uid="{0100AA91-5D67-4EF9-966B-2F34116D1710}"/>
    <cellStyle name="20% - Accent3 2 4 4" xfId="9160" xr:uid="{8A28A0DC-6ED0-40A2-85F9-35D9056A6F72}"/>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0E01844B-7728-4459-9B49-0E2EAA03D968}"/>
    <cellStyle name="20% - Accent3 2 5 2 3" xfId="11718" xr:uid="{795D3233-E5F2-4532-9ECC-B7B27CA63757}"/>
    <cellStyle name="20% - Accent3 2 5 3" xfId="5349" xr:uid="{00000000-0005-0000-0000-000086010000}"/>
    <cellStyle name="20% - Accent3 2 5 3 2" xfId="13791" xr:uid="{5ADF8F6F-88D5-4A77-86D7-0D07C9FF48C5}"/>
    <cellStyle name="20% - Accent3 2 5 4" xfId="9573" xr:uid="{A94BEAEE-2425-48ED-9D5C-2A6FEEB3E9E6}"/>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2DE355C6-0CB2-41BC-8E09-D52CBDD01EA1}"/>
    <cellStyle name="20% - Accent3 2 6 2 3" xfId="12131" xr:uid="{E1863F26-230D-4569-A785-13FDE523C6A6}"/>
    <cellStyle name="20% - Accent3 2 6 3" xfId="5762" xr:uid="{00000000-0005-0000-0000-00008A010000}"/>
    <cellStyle name="20% - Accent3 2 6 3 2" xfId="14204" xr:uid="{4090E451-0600-4B03-99F5-27681AAF3A48}"/>
    <cellStyle name="20% - Accent3 2 6 4" xfId="9986" xr:uid="{3D40009B-1D70-46B3-A900-C35F402E709A}"/>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CC0C7466-CF0F-4A46-B4B4-091E64D03BD4}"/>
    <cellStyle name="20% - Accent3 2 7 2 3" xfId="12544" xr:uid="{CDBB7D02-A037-42AA-A1B1-F320E9E40A0B}"/>
    <cellStyle name="20% - Accent3 2 7 3" xfId="6175" xr:uid="{00000000-0005-0000-0000-00008E010000}"/>
    <cellStyle name="20% - Accent3 2 7 3 2" xfId="14617" xr:uid="{7746C8F9-F2A0-4B0F-8085-CE21B5ECA178}"/>
    <cellStyle name="20% - Accent3 2 7 4" xfId="10399" xr:uid="{4D61FFA6-68C5-43D6-B9AA-CF0476B328BC}"/>
    <cellStyle name="20% - Accent3 2 8" xfId="2281" xr:uid="{00000000-0005-0000-0000-00008F010000}"/>
    <cellStyle name="20% - Accent3 2 8 2" xfId="6588" xr:uid="{00000000-0005-0000-0000-000090010000}"/>
    <cellStyle name="20% - Accent3 2 8 2 2" xfId="15030" xr:uid="{3FF76032-93F5-4BD0-B326-6C18875AE03C}"/>
    <cellStyle name="20% - Accent3 2 8 3" xfId="10812" xr:uid="{0D6D7FE6-842D-475F-A6AB-64691B8E8EBD}"/>
    <cellStyle name="20% - Accent3 2 9" xfId="4522" xr:uid="{00000000-0005-0000-0000-000091010000}"/>
    <cellStyle name="20% - Accent3 2 9 2" xfId="12964" xr:uid="{7CF4223A-0A4A-4744-A8A1-3D18979589CE}"/>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84E6966C-6E0B-4E59-B004-583F52277816}"/>
    <cellStyle name="20% - Accent3 3 2 2 2 3" xfId="11310" xr:uid="{05443866-B3C3-458D-BCA8-A5A905F44AB0}"/>
    <cellStyle name="20% - Accent3 3 2 2 3" xfId="4941" xr:uid="{00000000-0005-0000-0000-000097010000}"/>
    <cellStyle name="20% - Accent3 3 2 2 3 2" xfId="13383" xr:uid="{F652BC1E-DA4A-4914-85FF-2776D2F93ABC}"/>
    <cellStyle name="20% - Accent3 3 2 2 4" xfId="9165" xr:uid="{3DF6387F-551E-424B-A65F-7CCD5CA82569}"/>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C8A534A2-EE0F-4C04-8158-2F4715F071BD}"/>
    <cellStyle name="20% - Accent3 3 2 3 2 3" xfId="11723" xr:uid="{B46B09CE-50BC-4BC7-893A-DBEC2D4BFA44}"/>
    <cellStyle name="20% - Accent3 3 2 3 3" xfId="5354" xr:uid="{00000000-0005-0000-0000-00009B010000}"/>
    <cellStyle name="20% - Accent3 3 2 3 3 2" xfId="13796" xr:uid="{9AE9306D-9DC7-44AA-9828-CC59D03A7360}"/>
    <cellStyle name="20% - Accent3 3 2 3 4" xfId="9578" xr:uid="{8FA7EBE4-66FE-4EBB-B5EE-408AA10BD95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B69ED784-5F43-48E9-9402-802226B4933E}"/>
    <cellStyle name="20% - Accent3 3 2 4 2 3" xfId="12136" xr:uid="{743B99FA-A253-4505-8963-25A5826ABE2F}"/>
    <cellStyle name="20% - Accent3 3 2 4 3" xfId="5767" xr:uid="{00000000-0005-0000-0000-00009F010000}"/>
    <cellStyle name="20% - Accent3 3 2 4 3 2" xfId="14209" xr:uid="{10B98DA6-8523-473E-A500-16DEA0F1D576}"/>
    <cellStyle name="20% - Accent3 3 2 4 4" xfId="9991" xr:uid="{4BC1F244-C1EC-493D-84B0-6DC21178BF42}"/>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3F159EF-3E40-46DA-BA63-27E92C00606D}"/>
    <cellStyle name="20% - Accent3 3 2 5 2 3" xfId="12549" xr:uid="{73C9E8E5-1DF8-44B5-B57C-BFDE322D1B59}"/>
    <cellStyle name="20% - Accent3 3 2 5 3" xfId="6180" xr:uid="{00000000-0005-0000-0000-0000A3010000}"/>
    <cellStyle name="20% - Accent3 3 2 5 3 2" xfId="14622" xr:uid="{16283F03-BC68-429B-9CAC-08EC9E388E9F}"/>
    <cellStyle name="20% - Accent3 3 2 5 4" xfId="10404" xr:uid="{89AA0DC4-5472-49ED-9307-95EA4B7D3025}"/>
    <cellStyle name="20% - Accent3 3 2 6" xfId="2286" xr:uid="{00000000-0005-0000-0000-0000A4010000}"/>
    <cellStyle name="20% - Accent3 3 2 6 2" xfId="6593" xr:uid="{00000000-0005-0000-0000-0000A5010000}"/>
    <cellStyle name="20% - Accent3 3 2 6 2 2" xfId="15035" xr:uid="{4B8209A9-0C9E-4A04-B280-FEB9F4A84D42}"/>
    <cellStyle name="20% - Accent3 3 2 6 3" xfId="10817" xr:uid="{C8A611B1-8C23-4F86-AAD8-A34EB92378F8}"/>
    <cellStyle name="20% - Accent3 3 2 7" xfId="4527" xr:uid="{00000000-0005-0000-0000-0000A6010000}"/>
    <cellStyle name="20% - Accent3 3 2 7 2" xfId="12969" xr:uid="{E4E26B3B-7D5C-4D8D-9E1D-016BD1B00561}"/>
    <cellStyle name="20% - Accent3 3 2 8" xfId="8751" xr:uid="{0DED39B1-30FF-4A5A-900A-36C2FCEFDE20}"/>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730A69A3-760B-4DBD-85D1-835C5869DF8C}"/>
    <cellStyle name="20% - Accent3 3 3 2 3" xfId="11309" xr:uid="{7CF0DDA6-985D-47C9-973D-9E71A0BD115A}"/>
    <cellStyle name="20% - Accent3 3 3 3" xfId="4940" xr:uid="{00000000-0005-0000-0000-0000AA010000}"/>
    <cellStyle name="20% - Accent3 3 3 3 2" xfId="13382" xr:uid="{C600E82F-31A1-4454-8E2E-32B7B6567B3D}"/>
    <cellStyle name="20% - Accent3 3 3 4" xfId="9164" xr:uid="{967A1819-B506-4EFB-AA82-94BD5FDF05F9}"/>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50ADDFD4-A0EF-46C6-8FE8-83FCEBC8D725}"/>
    <cellStyle name="20% - Accent3 3 4 2 3" xfId="11722" xr:uid="{27FE7731-2C95-45FC-A21E-8AF5AB6774E1}"/>
    <cellStyle name="20% - Accent3 3 4 3" xfId="5353" xr:uid="{00000000-0005-0000-0000-0000AE010000}"/>
    <cellStyle name="20% - Accent3 3 4 3 2" xfId="13795" xr:uid="{9374EEFA-F18E-465C-8566-AFB5E5D917B6}"/>
    <cellStyle name="20% - Accent3 3 4 4" xfId="9577" xr:uid="{660CD6A6-8739-4D9B-9B37-822377667F5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A0DBB2C9-D018-424A-A1F3-A6CDA87409F4}"/>
    <cellStyle name="20% - Accent3 3 5 2 3" xfId="12135" xr:uid="{8484A7FA-5221-4752-AA7C-0CC6DA81ECDC}"/>
    <cellStyle name="20% - Accent3 3 5 3" xfId="5766" xr:uid="{00000000-0005-0000-0000-0000B2010000}"/>
    <cellStyle name="20% - Accent3 3 5 3 2" xfId="14208" xr:uid="{A06C722C-D5E0-4883-A283-3A578FF0BD53}"/>
    <cellStyle name="20% - Accent3 3 5 4" xfId="9990" xr:uid="{D5426C86-DB6E-4D11-83FF-4B7FDC5CF767}"/>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EA9C76BE-932A-4E6D-AC20-C6A4DAF49809}"/>
    <cellStyle name="20% - Accent3 3 6 2 3" xfId="12548" xr:uid="{F9E85CC7-0F7F-4761-AFE7-10D39A9ECB21}"/>
    <cellStyle name="20% - Accent3 3 6 3" xfId="6179" xr:uid="{00000000-0005-0000-0000-0000B6010000}"/>
    <cellStyle name="20% - Accent3 3 6 3 2" xfId="14621" xr:uid="{2D26F52D-0862-4019-9CD8-0B7F760FC273}"/>
    <cellStyle name="20% - Accent3 3 6 4" xfId="10403" xr:uid="{6E9D37FC-9FBB-4DAB-BA1C-4FAE6BFDC132}"/>
    <cellStyle name="20% - Accent3 3 7" xfId="2285" xr:uid="{00000000-0005-0000-0000-0000B7010000}"/>
    <cellStyle name="20% - Accent3 3 7 2" xfId="6592" xr:uid="{00000000-0005-0000-0000-0000B8010000}"/>
    <cellStyle name="20% - Accent3 3 7 2 2" xfId="15034" xr:uid="{91DEB3D0-BAF4-43F5-AE5B-CD4CAFEC4BFE}"/>
    <cellStyle name="20% - Accent3 3 7 3" xfId="10816" xr:uid="{F9F1D5DB-1718-4DFF-AB2E-291124689680}"/>
    <cellStyle name="20% - Accent3 3 8" xfId="4526" xr:uid="{00000000-0005-0000-0000-0000B9010000}"/>
    <cellStyle name="20% - Accent3 3 8 2" xfId="12968" xr:uid="{D21CAD95-FDB5-4FB5-9D9B-EDD2F441453D}"/>
    <cellStyle name="20% - Accent3 3 9" xfId="8750" xr:uid="{740D5BB1-AF29-455E-91A5-A786B2FE2DED}"/>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2ACD5AB-3C53-4BA6-9D06-D2568F3C2E0B}"/>
    <cellStyle name="20% - Accent3 4 2 2 3" xfId="11311" xr:uid="{8FDCF3E5-3136-4ECB-ADD8-2649442528C1}"/>
    <cellStyle name="20% - Accent3 4 2 3" xfId="4942" xr:uid="{00000000-0005-0000-0000-0000BE010000}"/>
    <cellStyle name="20% - Accent3 4 2 3 2" xfId="13384" xr:uid="{4EBF7940-B4E1-478D-924C-019046AAC715}"/>
    <cellStyle name="20% - Accent3 4 2 4" xfId="9166" xr:uid="{6A42B0A0-0C47-4358-8F0D-FDE88E6B2C02}"/>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5E94FC4F-3EBD-4682-A9E1-A56A94C66424}"/>
    <cellStyle name="20% - Accent3 4 3 2 3" xfId="11724" xr:uid="{53CFA839-A13A-431B-944C-9A84C4B1D75D}"/>
    <cellStyle name="20% - Accent3 4 3 3" xfId="5355" xr:uid="{00000000-0005-0000-0000-0000C2010000}"/>
    <cellStyle name="20% - Accent3 4 3 3 2" xfId="13797" xr:uid="{19E22319-8363-495D-8EC6-E8600E094750}"/>
    <cellStyle name="20% - Accent3 4 3 4" xfId="9579" xr:uid="{F751074F-3A41-4577-9A88-C1F04A517E8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B8A3252A-A8B6-448D-A544-D56A0EBBA493}"/>
    <cellStyle name="20% - Accent3 4 4 2 3" xfId="12137" xr:uid="{A1DC8D43-A965-4945-8FBB-DB152858ABE0}"/>
    <cellStyle name="20% - Accent3 4 4 3" xfId="5768" xr:uid="{00000000-0005-0000-0000-0000C6010000}"/>
    <cellStyle name="20% - Accent3 4 4 3 2" xfId="14210" xr:uid="{98176066-59BE-4812-AC04-4BDE78223D30}"/>
    <cellStyle name="20% - Accent3 4 4 4" xfId="9992" xr:uid="{CF96512A-9CDC-4E7C-8043-8E034C4B17BE}"/>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F66F2650-F504-4200-9BCD-9C6E9B6F03B8}"/>
    <cellStyle name="20% - Accent3 4 5 2 3" xfId="12550" xr:uid="{2C30717F-86C8-401C-A8D5-57C11B6FA8D5}"/>
    <cellStyle name="20% - Accent3 4 5 3" xfId="6181" xr:uid="{00000000-0005-0000-0000-0000CA010000}"/>
    <cellStyle name="20% - Accent3 4 5 3 2" xfId="14623" xr:uid="{99D48C4C-AEC3-4B78-BAAA-D1C37594FDF3}"/>
    <cellStyle name="20% - Accent3 4 5 4" xfId="10405" xr:uid="{596529C4-2E0F-4E9A-BF6C-A80176B05623}"/>
    <cellStyle name="20% - Accent3 4 6" xfId="2287" xr:uid="{00000000-0005-0000-0000-0000CB010000}"/>
    <cellStyle name="20% - Accent3 4 6 2" xfId="6594" xr:uid="{00000000-0005-0000-0000-0000CC010000}"/>
    <cellStyle name="20% - Accent3 4 6 2 2" xfId="15036" xr:uid="{C1478323-67A7-4087-984E-27F435D0222B}"/>
    <cellStyle name="20% - Accent3 4 6 3" xfId="10818" xr:uid="{C770C083-0558-47DA-BC35-5B83D78CA35C}"/>
    <cellStyle name="20% - Accent3 4 7" xfId="4528" xr:uid="{00000000-0005-0000-0000-0000CD010000}"/>
    <cellStyle name="20% - Accent3 4 7 2" xfId="12970" xr:uid="{A2284CBE-3F69-4CD6-8AFD-1C879210220F}"/>
    <cellStyle name="20% - Accent3 4 8" xfId="8752" xr:uid="{D164EACD-FF20-44C2-B19B-717A4FA07169}"/>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DB8D0AA6-ECD8-4447-B506-DD4708451AB1}"/>
    <cellStyle name="20% - Accent3 5 2 3" xfId="11304" xr:uid="{03DF62F1-5EEF-48E2-B8E9-268DC2408C3F}"/>
    <cellStyle name="20% - Accent3 5 3" xfId="4935" xr:uid="{00000000-0005-0000-0000-0000D1010000}"/>
    <cellStyle name="20% - Accent3 5 3 2" xfId="13377" xr:uid="{F396EB95-0D44-4B12-8A3F-A40F973C6590}"/>
    <cellStyle name="20% - Accent3 5 4" xfId="9159" xr:uid="{E6DEF14A-BEA5-43E6-8942-F49A782C75EA}"/>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4BFB0987-6CE3-4772-905B-C0A20F75EB3D}"/>
    <cellStyle name="20% - Accent3 6 2 3" xfId="11717" xr:uid="{FE18407D-EC26-4A73-BB0D-A1A74706FD9D}"/>
    <cellStyle name="20% - Accent3 6 3" xfId="5348" xr:uid="{00000000-0005-0000-0000-0000D5010000}"/>
    <cellStyle name="20% - Accent3 6 3 2" xfId="13790" xr:uid="{4FE5C635-EBCE-458C-B8BD-07643276A704}"/>
    <cellStyle name="20% - Accent3 6 4" xfId="9572" xr:uid="{BB0058F4-DAE8-43E4-A79C-E28D08E76781}"/>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76FBC11F-02E3-4748-95C7-D3894EF3A001}"/>
    <cellStyle name="20% - Accent3 7 2 3" xfId="12130" xr:uid="{99D68FE0-EFAC-405F-9A6B-D58FA05F833D}"/>
    <cellStyle name="20% - Accent3 7 3" xfId="5761" xr:uid="{00000000-0005-0000-0000-0000D9010000}"/>
    <cellStyle name="20% - Accent3 7 3 2" xfId="14203" xr:uid="{B98A5C0A-89BF-40C0-B2DB-FF452AE6A292}"/>
    <cellStyle name="20% - Accent3 7 4" xfId="9985" xr:uid="{D406249B-59F0-49B6-BF4D-7649B61DA1A5}"/>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4ED44607-A05E-402A-981E-4ED389C73CA7}"/>
    <cellStyle name="20% - Accent3 8 2 3" xfId="12543" xr:uid="{1915A017-F0B8-426B-BF36-103C61B1B65C}"/>
    <cellStyle name="20% - Accent3 8 3" xfId="6174" xr:uid="{00000000-0005-0000-0000-0000DD010000}"/>
    <cellStyle name="20% - Accent3 8 3 2" xfId="14616" xr:uid="{E951E999-DDFD-498C-A269-27EE2D3BD39D}"/>
    <cellStyle name="20% - Accent3 8 4" xfId="10398" xr:uid="{AB0EE13C-D813-47E3-B496-B5822894A661}"/>
    <cellStyle name="20% - Accent3 9" xfId="2280" xr:uid="{00000000-0005-0000-0000-0000DE010000}"/>
    <cellStyle name="20% - Accent3 9 2" xfId="6587" xr:uid="{00000000-0005-0000-0000-0000DF010000}"/>
    <cellStyle name="20% - Accent3 9 2 2" xfId="15029" xr:uid="{F83CAB11-60C5-4DB6-AFA9-74F52C5525D7}"/>
    <cellStyle name="20% - Accent3 9 3" xfId="10811" xr:uid="{2AEDB6D6-A145-47F2-89E7-581EB09C41A1}"/>
    <cellStyle name="20% - Accent4" xfId="25" builtinId="42" customBuiltin="1"/>
    <cellStyle name="20% - Accent4 10" xfId="4529" xr:uid="{00000000-0005-0000-0000-0000E1010000}"/>
    <cellStyle name="20% - Accent4 10 2" xfId="12971" xr:uid="{F33A0D76-BE9A-45AC-9896-D60A361238E9}"/>
    <cellStyle name="20% - Accent4 11" xfId="8753" xr:uid="{ACD69149-6A71-4342-9D79-86A09AFFB0C3}"/>
    <cellStyle name="20% - Accent4 2" xfId="26" xr:uid="{00000000-0005-0000-0000-0000E2010000}"/>
    <cellStyle name="20% - Accent4 2 10" xfId="8754" xr:uid="{2EB20935-874B-4E55-BA64-72D21C8D7D4D}"/>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B81C1226-E990-410C-A264-66E1A689860B}"/>
    <cellStyle name="20% - Accent4 2 2 2 2 2 3" xfId="11315" xr:uid="{ADFC3492-D45F-408E-9486-0704BB2BB768}"/>
    <cellStyle name="20% - Accent4 2 2 2 2 3" xfId="4946" xr:uid="{00000000-0005-0000-0000-0000E8010000}"/>
    <cellStyle name="20% - Accent4 2 2 2 2 3 2" xfId="13388" xr:uid="{99A833D2-B437-4417-900F-B7A5320190FD}"/>
    <cellStyle name="20% - Accent4 2 2 2 2 4" xfId="9170" xr:uid="{8D11A1E8-B34A-49AF-9756-05F19478919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892FFF47-4ADC-4156-8F0C-5767DBC7A379}"/>
    <cellStyle name="20% - Accent4 2 2 2 3 2 3" xfId="11728" xr:uid="{060803DC-F528-4915-A4D5-BF2FAA2F8574}"/>
    <cellStyle name="20% - Accent4 2 2 2 3 3" xfId="5359" xr:uid="{00000000-0005-0000-0000-0000EC010000}"/>
    <cellStyle name="20% - Accent4 2 2 2 3 3 2" xfId="13801" xr:uid="{B09F9BF6-8A4D-4BAB-A158-DC251A641563}"/>
    <cellStyle name="20% - Accent4 2 2 2 3 4" xfId="9583" xr:uid="{B5A17774-1A70-43BA-8572-181C5A64DA0D}"/>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A2287DCC-182D-4CBB-9937-564D578E4F8B}"/>
    <cellStyle name="20% - Accent4 2 2 2 4 2 3" xfId="12141" xr:uid="{4474F289-3868-4FB5-9AAD-5AD8B6BDF4CF}"/>
    <cellStyle name="20% - Accent4 2 2 2 4 3" xfId="5772" xr:uid="{00000000-0005-0000-0000-0000F0010000}"/>
    <cellStyle name="20% - Accent4 2 2 2 4 3 2" xfId="14214" xr:uid="{4E289784-159F-4450-97AB-695A52122ADE}"/>
    <cellStyle name="20% - Accent4 2 2 2 4 4" xfId="9996" xr:uid="{7C1EEFC2-1252-4E19-A449-1C8FDB4479E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91287277-7613-4643-B38F-8892155D469D}"/>
    <cellStyle name="20% - Accent4 2 2 2 5 2 3" xfId="12554" xr:uid="{8C759E0B-C89D-4F03-BA11-F297A66105E3}"/>
    <cellStyle name="20% - Accent4 2 2 2 5 3" xfId="6185" xr:uid="{00000000-0005-0000-0000-0000F4010000}"/>
    <cellStyle name="20% - Accent4 2 2 2 5 3 2" xfId="14627" xr:uid="{D6935554-E744-46B8-80C8-D747AE1A36D2}"/>
    <cellStyle name="20% - Accent4 2 2 2 5 4" xfId="10409" xr:uid="{070B76A9-CE35-4F7F-837F-EF1202918013}"/>
    <cellStyle name="20% - Accent4 2 2 2 6" xfId="2291" xr:uid="{00000000-0005-0000-0000-0000F5010000}"/>
    <cellStyle name="20% - Accent4 2 2 2 6 2" xfId="6598" xr:uid="{00000000-0005-0000-0000-0000F6010000}"/>
    <cellStyle name="20% - Accent4 2 2 2 6 2 2" xfId="15040" xr:uid="{55A2354A-4EFD-4969-8EB2-58B7597F136A}"/>
    <cellStyle name="20% - Accent4 2 2 2 6 3" xfId="10822" xr:uid="{623E68C6-233B-4605-8A98-A5DE2D507162}"/>
    <cellStyle name="20% - Accent4 2 2 2 7" xfId="4532" xr:uid="{00000000-0005-0000-0000-0000F7010000}"/>
    <cellStyle name="20% - Accent4 2 2 2 7 2" xfId="12974" xr:uid="{ADD7CEFD-088A-4FF4-B24D-83390DBC618E}"/>
    <cellStyle name="20% - Accent4 2 2 2 8" xfId="8756" xr:uid="{D2E655C5-2F77-4840-BD48-C55C20A0FB0F}"/>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E8F502B3-4863-4D2F-B574-09A4AA45F540}"/>
    <cellStyle name="20% - Accent4 2 2 3 2 3" xfId="11314" xr:uid="{9F16852E-33C8-498F-972C-54CEA99F635C}"/>
    <cellStyle name="20% - Accent4 2 2 3 3" xfId="4945" xr:uid="{00000000-0005-0000-0000-0000FB010000}"/>
    <cellStyle name="20% - Accent4 2 2 3 3 2" xfId="13387" xr:uid="{C1416915-0CE6-4AEA-9135-881780B978C6}"/>
    <cellStyle name="20% - Accent4 2 2 3 4" xfId="9169" xr:uid="{3548DABA-6269-4AB3-AAF6-A5EB3A99EBEA}"/>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481C10FF-3969-4A03-A5CA-314E4EC0FE50}"/>
    <cellStyle name="20% - Accent4 2 2 4 2 3" xfId="11727" xr:uid="{5B83522B-3473-4227-A79A-B9F818754E21}"/>
    <cellStyle name="20% - Accent4 2 2 4 3" xfId="5358" xr:uid="{00000000-0005-0000-0000-0000FF010000}"/>
    <cellStyle name="20% - Accent4 2 2 4 3 2" xfId="13800" xr:uid="{CE64D24E-161E-4D0F-AFE9-AAC08A0F1DC0}"/>
    <cellStyle name="20% - Accent4 2 2 4 4" xfId="9582" xr:uid="{C005ABEF-034A-4753-AAF2-76A403D90F8A}"/>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8D3E3A2B-4242-4438-ABAD-D3107266D227}"/>
    <cellStyle name="20% - Accent4 2 2 5 2 3" xfId="12140" xr:uid="{AEDC4061-4183-4537-A21E-A5E14CB67C4E}"/>
    <cellStyle name="20% - Accent4 2 2 5 3" xfId="5771" xr:uid="{00000000-0005-0000-0000-000003020000}"/>
    <cellStyle name="20% - Accent4 2 2 5 3 2" xfId="14213" xr:uid="{84E3BDA0-3677-477A-A04C-E7F1D439C345}"/>
    <cellStyle name="20% - Accent4 2 2 5 4" xfId="9995" xr:uid="{4B612511-1179-4AAC-8B8A-B3994BCA4466}"/>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428F3E4A-8DAC-48D2-9E5A-31A701773AD3}"/>
    <cellStyle name="20% - Accent4 2 2 6 2 3" xfId="12553" xr:uid="{D91E0F74-45B2-4105-973F-E137DC43F166}"/>
    <cellStyle name="20% - Accent4 2 2 6 3" xfId="6184" xr:uid="{00000000-0005-0000-0000-000007020000}"/>
    <cellStyle name="20% - Accent4 2 2 6 3 2" xfId="14626" xr:uid="{D8DB970D-E146-4A4C-B4D1-2D35152BE2CC}"/>
    <cellStyle name="20% - Accent4 2 2 6 4" xfId="10408" xr:uid="{2824F26B-AC18-4205-B324-3493905E67CB}"/>
    <cellStyle name="20% - Accent4 2 2 7" xfId="2290" xr:uid="{00000000-0005-0000-0000-000008020000}"/>
    <cellStyle name="20% - Accent4 2 2 7 2" xfId="6597" xr:uid="{00000000-0005-0000-0000-000009020000}"/>
    <cellStyle name="20% - Accent4 2 2 7 2 2" xfId="15039" xr:uid="{BE6BD8CB-8F3B-4548-B5D3-4B046D9305CD}"/>
    <cellStyle name="20% - Accent4 2 2 7 3" xfId="10821" xr:uid="{B7DA352A-9FD8-413C-86C8-33B714001416}"/>
    <cellStyle name="20% - Accent4 2 2 8" xfId="4531" xr:uid="{00000000-0005-0000-0000-00000A020000}"/>
    <cellStyle name="20% - Accent4 2 2 8 2" xfId="12973" xr:uid="{656B2CCF-DFBD-4D7E-8A29-C5422A453AA9}"/>
    <cellStyle name="20% - Accent4 2 2 9" xfId="8755" xr:uid="{2878ECCE-061E-4660-BC4B-2C34C3A42314}"/>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46095389-2962-41E7-AF5F-E50DE130EE39}"/>
    <cellStyle name="20% - Accent4 2 3 2 2 3" xfId="11316" xr:uid="{AFECCD1F-0394-4569-9C10-9C77D76C3C55}"/>
    <cellStyle name="20% - Accent4 2 3 2 3" xfId="4947" xr:uid="{00000000-0005-0000-0000-00000F020000}"/>
    <cellStyle name="20% - Accent4 2 3 2 3 2" xfId="13389" xr:uid="{239235E9-0436-4C71-91B7-9334C734F646}"/>
    <cellStyle name="20% - Accent4 2 3 2 4" xfId="9171" xr:uid="{CC466337-B5EB-406F-A41A-215395928C9A}"/>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1FCB34D2-4B45-47E2-8D18-414934691CB1}"/>
    <cellStyle name="20% - Accent4 2 3 3 2 3" xfId="11729" xr:uid="{5690C425-203F-4EC7-B1FD-95848EE155F4}"/>
    <cellStyle name="20% - Accent4 2 3 3 3" xfId="5360" xr:uid="{00000000-0005-0000-0000-000013020000}"/>
    <cellStyle name="20% - Accent4 2 3 3 3 2" xfId="13802" xr:uid="{07492445-F75A-4B7C-B656-FF8A228C9BD5}"/>
    <cellStyle name="20% - Accent4 2 3 3 4" xfId="9584" xr:uid="{E5F22C0B-5CFF-4861-8284-B29F1D5BB4D1}"/>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A88EC8AD-9501-4F0C-BA4A-7F757F366D3D}"/>
    <cellStyle name="20% - Accent4 2 3 4 2 3" xfId="12142" xr:uid="{682D4267-600D-43F9-87FF-1AD7F1E2F5E5}"/>
    <cellStyle name="20% - Accent4 2 3 4 3" xfId="5773" xr:uid="{00000000-0005-0000-0000-000017020000}"/>
    <cellStyle name="20% - Accent4 2 3 4 3 2" xfId="14215" xr:uid="{AE33FFCB-1033-459D-A01A-2F415C378C90}"/>
    <cellStyle name="20% - Accent4 2 3 4 4" xfId="9997" xr:uid="{3D61F7BA-D788-4497-9487-EC048607EFC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FAC4A076-FC72-461D-8E58-61711EA3AC18}"/>
    <cellStyle name="20% - Accent4 2 3 5 2 3" xfId="12555" xr:uid="{C2BDAD1B-6CDD-4650-93B3-7A7DBA22A4E0}"/>
    <cellStyle name="20% - Accent4 2 3 5 3" xfId="6186" xr:uid="{00000000-0005-0000-0000-00001B020000}"/>
    <cellStyle name="20% - Accent4 2 3 5 3 2" xfId="14628" xr:uid="{A47810B8-6F9B-464E-A91F-A9E0C6EEAD06}"/>
    <cellStyle name="20% - Accent4 2 3 5 4" xfId="10410" xr:uid="{3E1CBA52-3151-4928-BA5E-C11B7198042C}"/>
    <cellStyle name="20% - Accent4 2 3 6" xfId="2292" xr:uid="{00000000-0005-0000-0000-00001C020000}"/>
    <cellStyle name="20% - Accent4 2 3 6 2" xfId="6599" xr:uid="{00000000-0005-0000-0000-00001D020000}"/>
    <cellStyle name="20% - Accent4 2 3 6 2 2" xfId="15041" xr:uid="{4D17CD04-CE30-434C-A8A2-18ED50C4CECF}"/>
    <cellStyle name="20% - Accent4 2 3 6 3" xfId="10823" xr:uid="{78972150-1518-44FB-BBF0-3AB0C8F798CD}"/>
    <cellStyle name="20% - Accent4 2 3 7" xfId="4533" xr:uid="{00000000-0005-0000-0000-00001E020000}"/>
    <cellStyle name="20% - Accent4 2 3 7 2" xfId="12975" xr:uid="{8A30CF35-1919-41EB-A18C-174BB46DE31B}"/>
    <cellStyle name="20% - Accent4 2 3 8" xfId="8757" xr:uid="{C8DEDE1C-D684-461D-9421-62D3D6349572}"/>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D1E4D375-BB4D-4445-8802-4521F917C6EA}"/>
    <cellStyle name="20% - Accent4 2 4 2 3" xfId="11313" xr:uid="{92451260-DE8D-463D-A89F-FB2E51FF4509}"/>
    <cellStyle name="20% - Accent4 2 4 3" xfId="4944" xr:uid="{00000000-0005-0000-0000-000022020000}"/>
    <cellStyle name="20% - Accent4 2 4 3 2" xfId="13386" xr:uid="{9C16C67D-1791-4280-B738-F78001673835}"/>
    <cellStyle name="20% - Accent4 2 4 4" xfId="9168" xr:uid="{B40FABD5-3ABD-4DDC-96DE-C53A48FEF35E}"/>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D214BADD-2847-463B-97F0-93568318ACB4}"/>
    <cellStyle name="20% - Accent4 2 5 2 3" xfId="11726" xr:uid="{E9FA24E6-9984-4201-B7B3-80BEFD5E0A03}"/>
    <cellStyle name="20% - Accent4 2 5 3" xfId="5357" xr:uid="{00000000-0005-0000-0000-000026020000}"/>
    <cellStyle name="20% - Accent4 2 5 3 2" xfId="13799" xr:uid="{55FF3E71-23EA-4D74-981B-B0D4337D73D7}"/>
    <cellStyle name="20% - Accent4 2 5 4" xfId="9581" xr:uid="{53D62D4C-6A9A-469B-BF6A-8042ECE83B70}"/>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A32B4A02-853B-4343-87A9-D6D993C81890}"/>
    <cellStyle name="20% - Accent4 2 6 2 3" xfId="12139" xr:uid="{FB97526A-8CF7-419C-811D-493135A32FB8}"/>
    <cellStyle name="20% - Accent4 2 6 3" xfId="5770" xr:uid="{00000000-0005-0000-0000-00002A020000}"/>
    <cellStyle name="20% - Accent4 2 6 3 2" xfId="14212" xr:uid="{4D9B3ED6-C030-41EF-9EAD-C607263CBCC3}"/>
    <cellStyle name="20% - Accent4 2 6 4" xfId="9994" xr:uid="{509A52FD-1E31-40C0-8DE6-E15B2030E563}"/>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A5788715-CFDD-49F0-84D6-06CE2966E87B}"/>
    <cellStyle name="20% - Accent4 2 7 2 3" xfId="12552" xr:uid="{D5C1B4DB-4695-42E5-9753-14BD4C9B4EF1}"/>
    <cellStyle name="20% - Accent4 2 7 3" xfId="6183" xr:uid="{00000000-0005-0000-0000-00002E020000}"/>
    <cellStyle name="20% - Accent4 2 7 3 2" xfId="14625" xr:uid="{4C98DCA3-C9B4-4755-8D83-A31AF678D339}"/>
    <cellStyle name="20% - Accent4 2 7 4" xfId="10407" xr:uid="{573DA70B-4AF9-46BE-8706-B181A0CE21AB}"/>
    <cellStyle name="20% - Accent4 2 8" xfId="2289" xr:uid="{00000000-0005-0000-0000-00002F020000}"/>
    <cellStyle name="20% - Accent4 2 8 2" xfId="6596" xr:uid="{00000000-0005-0000-0000-000030020000}"/>
    <cellStyle name="20% - Accent4 2 8 2 2" xfId="15038" xr:uid="{694193F1-F391-43B1-AFBC-EAB109E986F3}"/>
    <cellStyle name="20% - Accent4 2 8 3" xfId="10820" xr:uid="{6515B18A-A33D-45F1-88E5-2F2A7FC1F0B3}"/>
    <cellStyle name="20% - Accent4 2 9" xfId="4530" xr:uid="{00000000-0005-0000-0000-000031020000}"/>
    <cellStyle name="20% - Accent4 2 9 2" xfId="12972" xr:uid="{F633142B-F430-4C26-95F7-8AF41A05304C}"/>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13319468-8D54-4D1A-A608-6ECF6250DE7B}"/>
    <cellStyle name="20% - Accent4 3 2 2 2 3" xfId="11318" xr:uid="{E9C5BF79-7F1F-4D59-A067-4E2A426D46E1}"/>
    <cellStyle name="20% - Accent4 3 2 2 3" xfId="4949" xr:uid="{00000000-0005-0000-0000-000037020000}"/>
    <cellStyle name="20% - Accent4 3 2 2 3 2" xfId="13391" xr:uid="{89779903-F329-402B-9A6F-FCA2FCBE4055}"/>
    <cellStyle name="20% - Accent4 3 2 2 4" xfId="9173" xr:uid="{60EC2FAC-527C-4EC2-9D2B-7DA26D3D5052}"/>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F6664E11-EDB8-4257-8BD6-3E85CC8948A5}"/>
    <cellStyle name="20% - Accent4 3 2 3 2 3" xfId="11731" xr:uid="{DCA8440B-45D4-4226-A27C-53C58B67362B}"/>
    <cellStyle name="20% - Accent4 3 2 3 3" xfId="5362" xr:uid="{00000000-0005-0000-0000-00003B020000}"/>
    <cellStyle name="20% - Accent4 3 2 3 3 2" xfId="13804" xr:uid="{28E7B7A1-7A62-4591-805B-6EC6C36ACC62}"/>
    <cellStyle name="20% - Accent4 3 2 3 4" xfId="9586" xr:uid="{E5D23725-D3EA-4DA7-BE0F-A125102E35A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5F023636-8B11-489E-8890-78D835B2B312}"/>
    <cellStyle name="20% - Accent4 3 2 4 2 3" xfId="12144" xr:uid="{AE14F2C1-1BE8-454D-8984-9EF4F8B9DC13}"/>
    <cellStyle name="20% - Accent4 3 2 4 3" xfId="5775" xr:uid="{00000000-0005-0000-0000-00003F020000}"/>
    <cellStyle name="20% - Accent4 3 2 4 3 2" xfId="14217" xr:uid="{78EFEFA7-2FE2-47F8-8828-F16E5C46C5D7}"/>
    <cellStyle name="20% - Accent4 3 2 4 4" xfId="9999" xr:uid="{D5817E7E-14EC-4034-B013-0BB03715A75D}"/>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3109AA15-9D41-4321-A45F-DC2AE9E7A1B1}"/>
    <cellStyle name="20% - Accent4 3 2 5 2 3" xfId="12557" xr:uid="{7ACD15DD-68BA-4B05-96F1-065F1FFA750A}"/>
    <cellStyle name="20% - Accent4 3 2 5 3" xfId="6188" xr:uid="{00000000-0005-0000-0000-000043020000}"/>
    <cellStyle name="20% - Accent4 3 2 5 3 2" xfId="14630" xr:uid="{E4D62B5A-903A-4CBA-A600-52292C8F03FE}"/>
    <cellStyle name="20% - Accent4 3 2 5 4" xfId="10412" xr:uid="{9E1506F1-904B-495B-9028-F5E20A0A9735}"/>
    <cellStyle name="20% - Accent4 3 2 6" xfId="2294" xr:uid="{00000000-0005-0000-0000-000044020000}"/>
    <cellStyle name="20% - Accent4 3 2 6 2" xfId="6601" xr:uid="{00000000-0005-0000-0000-000045020000}"/>
    <cellStyle name="20% - Accent4 3 2 6 2 2" xfId="15043" xr:uid="{9DBBBBB9-29D3-46FD-9C5A-FA3F8C2D072C}"/>
    <cellStyle name="20% - Accent4 3 2 6 3" xfId="10825" xr:uid="{17F94922-DF02-4703-BA15-D1B14949EC44}"/>
    <cellStyle name="20% - Accent4 3 2 7" xfId="4535" xr:uid="{00000000-0005-0000-0000-000046020000}"/>
    <cellStyle name="20% - Accent4 3 2 7 2" xfId="12977" xr:uid="{8817C11E-91F5-4D58-B0B8-45AA8617197D}"/>
    <cellStyle name="20% - Accent4 3 2 8" xfId="8759" xr:uid="{60251618-0FFF-4D28-A257-DDFAE8282FF3}"/>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CADFB31A-6577-4620-8BE2-A6C391503180}"/>
    <cellStyle name="20% - Accent4 3 3 2 3" xfId="11317" xr:uid="{9E648B5A-19FB-4A78-9789-DF3D4EFD730B}"/>
    <cellStyle name="20% - Accent4 3 3 3" xfId="4948" xr:uid="{00000000-0005-0000-0000-00004A020000}"/>
    <cellStyle name="20% - Accent4 3 3 3 2" xfId="13390" xr:uid="{432A8362-5805-4EF7-A654-EB98D4DCAC7B}"/>
    <cellStyle name="20% - Accent4 3 3 4" xfId="9172" xr:uid="{A7876E17-D91D-4A92-8FE1-B72BA521C41B}"/>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9C5A10FF-91CA-4C71-83D8-8711155C1344}"/>
    <cellStyle name="20% - Accent4 3 4 2 3" xfId="11730" xr:uid="{0AC1F705-1DAE-4874-A910-7FAA1A52F34B}"/>
    <cellStyle name="20% - Accent4 3 4 3" xfId="5361" xr:uid="{00000000-0005-0000-0000-00004E020000}"/>
    <cellStyle name="20% - Accent4 3 4 3 2" xfId="13803" xr:uid="{6626428C-D0FB-4B3B-A0AB-9DD4AC6D3D01}"/>
    <cellStyle name="20% - Accent4 3 4 4" xfId="9585" xr:uid="{FB955B88-26A0-4BED-83EF-1D5C935AAD36}"/>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19AF3BCA-BE3D-4B25-9380-60F7DA680263}"/>
    <cellStyle name="20% - Accent4 3 5 2 3" xfId="12143" xr:uid="{68627D82-0A55-4595-8B70-65914641EBCA}"/>
    <cellStyle name="20% - Accent4 3 5 3" xfId="5774" xr:uid="{00000000-0005-0000-0000-000052020000}"/>
    <cellStyle name="20% - Accent4 3 5 3 2" xfId="14216" xr:uid="{6CEFAB00-80EC-44CA-8083-2389864F7608}"/>
    <cellStyle name="20% - Accent4 3 5 4" xfId="9998" xr:uid="{C2658FD2-AF57-4D5F-84CF-6709CFA90002}"/>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9639CDE6-A47E-4547-A9F3-EB714E6F2853}"/>
    <cellStyle name="20% - Accent4 3 6 2 3" xfId="12556" xr:uid="{CBF0B22C-34E7-4D41-9808-39463B2FF6EE}"/>
    <cellStyle name="20% - Accent4 3 6 3" xfId="6187" xr:uid="{00000000-0005-0000-0000-000056020000}"/>
    <cellStyle name="20% - Accent4 3 6 3 2" xfId="14629" xr:uid="{0971CAB8-E4CF-4D58-AEA9-0242B19BBCAA}"/>
    <cellStyle name="20% - Accent4 3 6 4" xfId="10411" xr:uid="{8DE0B2B7-547D-4ABD-9CDF-025A103A72E8}"/>
    <cellStyle name="20% - Accent4 3 7" xfId="2293" xr:uid="{00000000-0005-0000-0000-000057020000}"/>
    <cellStyle name="20% - Accent4 3 7 2" xfId="6600" xr:uid="{00000000-0005-0000-0000-000058020000}"/>
    <cellStyle name="20% - Accent4 3 7 2 2" xfId="15042" xr:uid="{F3C8DC1A-E9B6-4789-8592-B7FCE28D9B16}"/>
    <cellStyle name="20% - Accent4 3 7 3" xfId="10824" xr:uid="{2139CF9B-2688-4220-B9F9-359BF6611F24}"/>
    <cellStyle name="20% - Accent4 3 8" xfId="4534" xr:uid="{00000000-0005-0000-0000-000059020000}"/>
    <cellStyle name="20% - Accent4 3 8 2" xfId="12976" xr:uid="{F03D26C5-6DF6-4C8C-9C6E-93B88158D4E4}"/>
    <cellStyle name="20% - Accent4 3 9" xfId="8758" xr:uid="{2F06914E-6E0C-4116-8676-2DEB3FC7389B}"/>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17A4A3DD-D17B-40AE-9964-88F235D19B3E}"/>
    <cellStyle name="20% - Accent4 4 2 2 3" xfId="11319" xr:uid="{E7A7E2A5-5E60-4AC0-847E-A4D5E873F6C9}"/>
    <cellStyle name="20% - Accent4 4 2 3" xfId="4950" xr:uid="{00000000-0005-0000-0000-00005E020000}"/>
    <cellStyle name="20% - Accent4 4 2 3 2" xfId="13392" xr:uid="{62DFE75B-EBBC-4CBA-8B34-BB9EC995FD1D}"/>
    <cellStyle name="20% - Accent4 4 2 4" xfId="9174" xr:uid="{D848FF71-4BB4-4FCE-B469-614B8AF77301}"/>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D3C9C3AF-AA6F-4D9D-B194-83B037CE5407}"/>
    <cellStyle name="20% - Accent4 4 3 2 3" xfId="11732" xr:uid="{355578C7-F517-438B-B64A-98A118A39BD9}"/>
    <cellStyle name="20% - Accent4 4 3 3" xfId="5363" xr:uid="{00000000-0005-0000-0000-000062020000}"/>
    <cellStyle name="20% - Accent4 4 3 3 2" xfId="13805" xr:uid="{6C72C47C-AA71-42C0-B785-BBB69182A9A6}"/>
    <cellStyle name="20% - Accent4 4 3 4" xfId="9587" xr:uid="{01F1AFCD-34EF-4B81-B2F9-2B9E11317EF8}"/>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03162DAE-5C08-4C05-BF0B-F5808091D07A}"/>
    <cellStyle name="20% - Accent4 4 4 2 3" xfId="12145" xr:uid="{CB102C81-9147-4003-9237-E4CC4DCDECF6}"/>
    <cellStyle name="20% - Accent4 4 4 3" xfId="5776" xr:uid="{00000000-0005-0000-0000-000066020000}"/>
    <cellStyle name="20% - Accent4 4 4 3 2" xfId="14218" xr:uid="{5BD8F50F-FE93-4F70-ABDE-90B26F9F1FA4}"/>
    <cellStyle name="20% - Accent4 4 4 4" xfId="10000" xr:uid="{8A8160B4-58FD-460C-98B7-DE065949803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7A745184-2CF2-4B21-8BBA-D59CC65476A2}"/>
    <cellStyle name="20% - Accent4 4 5 2 3" xfId="12558" xr:uid="{3762238F-1253-44B5-B450-F968053DFB14}"/>
    <cellStyle name="20% - Accent4 4 5 3" xfId="6189" xr:uid="{00000000-0005-0000-0000-00006A020000}"/>
    <cellStyle name="20% - Accent4 4 5 3 2" xfId="14631" xr:uid="{ED2CDD7B-9140-4F9B-B457-4B1AA82EB9CD}"/>
    <cellStyle name="20% - Accent4 4 5 4" xfId="10413" xr:uid="{FC32F610-017B-4E60-9A55-7AA11398447B}"/>
    <cellStyle name="20% - Accent4 4 6" xfId="2295" xr:uid="{00000000-0005-0000-0000-00006B020000}"/>
    <cellStyle name="20% - Accent4 4 6 2" xfId="6602" xr:uid="{00000000-0005-0000-0000-00006C020000}"/>
    <cellStyle name="20% - Accent4 4 6 2 2" xfId="15044" xr:uid="{40C81CD6-B3FA-4474-8C70-3A2C499331CE}"/>
    <cellStyle name="20% - Accent4 4 6 3" xfId="10826" xr:uid="{23051E57-31F2-4542-930D-A8C0F09A5D49}"/>
    <cellStyle name="20% - Accent4 4 7" xfId="4536" xr:uid="{00000000-0005-0000-0000-00006D020000}"/>
    <cellStyle name="20% - Accent4 4 7 2" xfId="12978" xr:uid="{45D84786-96CD-4C3A-97B2-C6ED1BCE5255}"/>
    <cellStyle name="20% - Accent4 4 8" xfId="8760" xr:uid="{86165FF9-E5A0-4B25-B4CE-417FF300A024}"/>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8F12996B-5862-4F23-A8A9-A650FCB10081}"/>
    <cellStyle name="20% - Accent4 5 2 3" xfId="11312" xr:uid="{3F95DC6F-887A-486E-A466-C608A7D45928}"/>
    <cellStyle name="20% - Accent4 5 3" xfId="4943" xr:uid="{00000000-0005-0000-0000-000071020000}"/>
    <cellStyle name="20% - Accent4 5 3 2" xfId="13385" xr:uid="{0286D3BB-33A0-4E97-8334-3F97918C85E0}"/>
    <cellStyle name="20% - Accent4 5 4" xfId="9167" xr:uid="{A485014D-9370-4E8D-9744-3308FEA7F941}"/>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2F4FB36C-34CA-433D-941F-309694F5B6F5}"/>
    <cellStyle name="20% - Accent4 6 2 3" xfId="11725" xr:uid="{E873B2B4-77F1-4F2C-A986-AE27FF9F5B39}"/>
    <cellStyle name="20% - Accent4 6 3" xfId="5356" xr:uid="{00000000-0005-0000-0000-000075020000}"/>
    <cellStyle name="20% - Accent4 6 3 2" xfId="13798" xr:uid="{B3E2892F-15BD-4A28-A6E4-85C1D035DBD6}"/>
    <cellStyle name="20% - Accent4 6 4" xfId="9580" xr:uid="{9CB83F45-9E59-4D1A-AD3B-E0733D52F75A}"/>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D3805497-7D91-41A0-B554-E833175EC173}"/>
    <cellStyle name="20% - Accent4 7 2 3" xfId="12138" xr:uid="{484D94C3-E0FA-44DB-8771-0D5A730AD9C4}"/>
    <cellStyle name="20% - Accent4 7 3" xfId="5769" xr:uid="{00000000-0005-0000-0000-000079020000}"/>
    <cellStyle name="20% - Accent4 7 3 2" xfId="14211" xr:uid="{99BA23EA-06A9-4989-B9C7-01204DBB4314}"/>
    <cellStyle name="20% - Accent4 7 4" xfId="9993" xr:uid="{71F8AEBB-6FD7-44E0-A6E2-FA1B81543C22}"/>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782CE0AE-8E4A-42EE-B3B0-7423FBD05AAD}"/>
    <cellStyle name="20% - Accent4 8 2 3" xfId="12551" xr:uid="{16D56991-B599-443C-8A9F-4780F09788C3}"/>
    <cellStyle name="20% - Accent4 8 3" xfId="6182" xr:uid="{00000000-0005-0000-0000-00007D020000}"/>
    <cellStyle name="20% - Accent4 8 3 2" xfId="14624" xr:uid="{D31DF769-6162-4223-89C1-51554C1149C9}"/>
    <cellStyle name="20% - Accent4 8 4" xfId="10406" xr:uid="{23ED399B-E25E-4D0A-A38F-DCE5CE874F40}"/>
    <cellStyle name="20% - Accent4 9" xfId="2288" xr:uid="{00000000-0005-0000-0000-00007E020000}"/>
    <cellStyle name="20% - Accent4 9 2" xfId="6595" xr:uid="{00000000-0005-0000-0000-00007F020000}"/>
    <cellStyle name="20% - Accent4 9 2 2" xfId="15037" xr:uid="{ABA61D2E-4AD6-45A7-9582-B78DE7EF34EE}"/>
    <cellStyle name="20% - Accent4 9 3" xfId="10819" xr:uid="{72D174A3-6F08-4233-A9E1-8B3F2EEBF961}"/>
    <cellStyle name="20% - Accent5" xfId="33" builtinId="46" customBuiltin="1"/>
    <cellStyle name="20% - Accent5 10" xfId="4537" xr:uid="{00000000-0005-0000-0000-000081020000}"/>
    <cellStyle name="20% - Accent5 10 2" xfId="12979" xr:uid="{8DC86A52-1CAD-420D-B5EB-D73FF04C9231}"/>
    <cellStyle name="20% - Accent5 11" xfId="8761" xr:uid="{084F1605-A395-4FF3-B9AE-47635D481759}"/>
    <cellStyle name="20% - Accent5 2" xfId="34" xr:uid="{00000000-0005-0000-0000-000082020000}"/>
    <cellStyle name="20% - Accent5 2 10" xfId="8762" xr:uid="{15F0D401-E37C-4426-A526-1DC6F88F147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3BF5344E-FACE-4090-8A68-DF54E6715AC4}"/>
    <cellStyle name="20% - Accent5 2 2 2 2 2 3" xfId="11323" xr:uid="{93C0D9E0-B4D3-4A69-912E-C677877B3280}"/>
    <cellStyle name="20% - Accent5 2 2 2 2 3" xfId="4954" xr:uid="{00000000-0005-0000-0000-000088020000}"/>
    <cellStyle name="20% - Accent5 2 2 2 2 3 2" xfId="13396" xr:uid="{77F6AF26-9803-4FE1-92D7-CDA5BD7DCF3D}"/>
    <cellStyle name="20% - Accent5 2 2 2 2 4" xfId="9178" xr:uid="{3255AEF1-A32A-43E5-BBB3-80BDF150BFE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253FFB8-A91B-4CD5-A569-611632BE40FF}"/>
    <cellStyle name="20% - Accent5 2 2 2 3 2 3" xfId="11736" xr:uid="{2FFA67A6-620C-48BD-8256-68AA063C5A5B}"/>
    <cellStyle name="20% - Accent5 2 2 2 3 3" xfId="5367" xr:uid="{00000000-0005-0000-0000-00008C020000}"/>
    <cellStyle name="20% - Accent5 2 2 2 3 3 2" xfId="13809" xr:uid="{9D7D8A41-EA76-4CE0-8E91-324584B1ACAA}"/>
    <cellStyle name="20% - Accent5 2 2 2 3 4" xfId="9591" xr:uid="{A6F3D533-2577-45CB-AA05-435FF9DA3208}"/>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6189A66A-F0F3-483C-AD9B-AF1C5F873ACB}"/>
    <cellStyle name="20% - Accent5 2 2 2 4 2 3" xfId="12149" xr:uid="{6144DDA0-0C96-4D81-860D-E1BFBCFA2604}"/>
    <cellStyle name="20% - Accent5 2 2 2 4 3" xfId="5780" xr:uid="{00000000-0005-0000-0000-000090020000}"/>
    <cellStyle name="20% - Accent5 2 2 2 4 3 2" xfId="14222" xr:uid="{20767970-A5D3-41BC-B70E-5BABE4760EA1}"/>
    <cellStyle name="20% - Accent5 2 2 2 4 4" xfId="10004" xr:uid="{AAE04A9A-FB7F-4489-8F18-EEAB1FE54388}"/>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E877C468-81CA-485F-9E3F-05CAEEBB539F}"/>
    <cellStyle name="20% - Accent5 2 2 2 5 2 3" xfId="12562" xr:uid="{4C39B4F3-F8F3-4653-84C2-5D21D2A8D588}"/>
    <cellStyle name="20% - Accent5 2 2 2 5 3" xfId="6193" xr:uid="{00000000-0005-0000-0000-000094020000}"/>
    <cellStyle name="20% - Accent5 2 2 2 5 3 2" xfId="14635" xr:uid="{A5BA1258-BD41-4B00-89A8-66111D6DFBE6}"/>
    <cellStyle name="20% - Accent5 2 2 2 5 4" xfId="10417" xr:uid="{095A50C8-047C-42F7-A5D3-363F3052B390}"/>
    <cellStyle name="20% - Accent5 2 2 2 6" xfId="2299" xr:uid="{00000000-0005-0000-0000-000095020000}"/>
    <cellStyle name="20% - Accent5 2 2 2 6 2" xfId="6606" xr:uid="{00000000-0005-0000-0000-000096020000}"/>
    <cellStyle name="20% - Accent5 2 2 2 6 2 2" xfId="15048" xr:uid="{811A7A26-1104-41BD-931F-CBE5E3B3C50D}"/>
    <cellStyle name="20% - Accent5 2 2 2 6 3" xfId="10830" xr:uid="{083648F5-2967-40F2-B5E2-6038EB5E34EB}"/>
    <cellStyle name="20% - Accent5 2 2 2 7" xfId="4540" xr:uid="{00000000-0005-0000-0000-000097020000}"/>
    <cellStyle name="20% - Accent5 2 2 2 7 2" xfId="12982" xr:uid="{10252136-A19C-4ADA-A4D9-B487A070BB94}"/>
    <cellStyle name="20% - Accent5 2 2 2 8" xfId="8764" xr:uid="{9B366188-AA34-4554-8BAE-B85478681939}"/>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FA4DDDDD-60A6-4BCF-BF21-CA4594FCC77B}"/>
    <cellStyle name="20% - Accent5 2 2 3 2 3" xfId="11322" xr:uid="{5AA1A492-B08B-4B29-86F7-87281D724BE1}"/>
    <cellStyle name="20% - Accent5 2 2 3 3" xfId="4953" xr:uid="{00000000-0005-0000-0000-00009B020000}"/>
    <cellStyle name="20% - Accent5 2 2 3 3 2" xfId="13395" xr:uid="{2D2EC47B-EF22-459E-BFAF-C6BD91394DDA}"/>
    <cellStyle name="20% - Accent5 2 2 3 4" xfId="9177" xr:uid="{990A7103-2384-47C4-A75A-ABA73E988F9D}"/>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26A0BF1F-AA92-49B0-ABE1-E5DDA645FDB2}"/>
    <cellStyle name="20% - Accent5 2 2 4 2 3" xfId="11735" xr:uid="{BB640B37-BDBD-40BF-9040-C0A562CA2918}"/>
    <cellStyle name="20% - Accent5 2 2 4 3" xfId="5366" xr:uid="{00000000-0005-0000-0000-00009F020000}"/>
    <cellStyle name="20% - Accent5 2 2 4 3 2" xfId="13808" xr:uid="{A766E30C-3D18-4C12-8EB9-5C5069812534}"/>
    <cellStyle name="20% - Accent5 2 2 4 4" xfId="9590" xr:uid="{C3BC5D1E-37F4-4A73-8271-CB15AB23DC86}"/>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A24BECE5-973F-490E-A218-EA2B376F149D}"/>
    <cellStyle name="20% - Accent5 2 2 5 2 3" xfId="12148" xr:uid="{4899F1C2-A376-4119-BFF1-CEC422E39B9D}"/>
    <cellStyle name="20% - Accent5 2 2 5 3" xfId="5779" xr:uid="{00000000-0005-0000-0000-0000A3020000}"/>
    <cellStyle name="20% - Accent5 2 2 5 3 2" xfId="14221" xr:uid="{B974174E-05D0-4081-BCFF-2EFB63906EE2}"/>
    <cellStyle name="20% - Accent5 2 2 5 4" xfId="10003" xr:uid="{7A7C5DFE-5857-4B08-B1EF-D802892CA1B9}"/>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08340A35-C3E5-43F7-A9D5-4003A0539EB7}"/>
    <cellStyle name="20% - Accent5 2 2 6 2 3" xfId="12561" xr:uid="{C9834749-D25B-494D-A61D-15EF404AA524}"/>
    <cellStyle name="20% - Accent5 2 2 6 3" xfId="6192" xr:uid="{00000000-0005-0000-0000-0000A7020000}"/>
    <cellStyle name="20% - Accent5 2 2 6 3 2" xfId="14634" xr:uid="{1B7FD2A2-9D38-4D6A-909C-68224024961E}"/>
    <cellStyle name="20% - Accent5 2 2 6 4" xfId="10416" xr:uid="{EAFFF831-B2FD-41F9-BCF4-8DC9A7634FD8}"/>
    <cellStyle name="20% - Accent5 2 2 7" xfId="2298" xr:uid="{00000000-0005-0000-0000-0000A8020000}"/>
    <cellStyle name="20% - Accent5 2 2 7 2" xfId="6605" xr:uid="{00000000-0005-0000-0000-0000A9020000}"/>
    <cellStyle name="20% - Accent5 2 2 7 2 2" xfId="15047" xr:uid="{D08E0FC0-94BD-47EB-9E98-6F3C7DD1716B}"/>
    <cellStyle name="20% - Accent5 2 2 7 3" xfId="10829" xr:uid="{D27381C1-D9D7-4EC5-82E1-13D670AD449E}"/>
    <cellStyle name="20% - Accent5 2 2 8" xfId="4539" xr:uid="{00000000-0005-0000-0000-0000AA020000}"/>
    <cellStyle name="20% - Accent5 2 2 8 2" xfId="12981" xr:uid="{1FFE4D74-4DD8-4E4D-B8F9-6CEE67384B7B}"/>
    <cellStyle name="20% - Accent5 2 2 9" xfId="8763" xr:uid="{35C32161-7307-4A82-A7DD-9EADE62E4B68}"/>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8492BBA1-DB62-4F3B-B828-1D938B785495}"/>
    <cellStyle name="20% - Accent5 2 3 2 2 3" xfId="11324" xr:uid="{3BB65CD4-871D-4DD4-9303-3AB0AE070FDC}"/>
    <cellStyle name="20% - Accent5 2 3 2 3" xfId="4955" xr:uid="{00000000-0005-0000-0000-0000AF020000}"/>
    <cellStyle name="20% - Accent5 2 3 2 3 2" xfId="13397" xr:uid="{CA885BB6-B1B0-4040-822D-B35C262ACFF1}"/>
    <cellStyle name="20% - Accent5 2 3 2 4" xfId="9179" xr:uid="{B4E8AF84-C308-416E-A996-820FE3515076}"/>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BFFC4900-3E16-4B5C-AC78-68C9B4AC82E4}"/>
    <cellStyle name="20% - Accent5 2 3 3 2 3" xfId="11737" xr:uid="{1982B19A-1E90-4785-9C32-76B46AD2F228}"/>
    <cellStyle name="20% - Accent5 2 3 3 3" xfId="5368" xr:uid="{00000000-0005-0000-0000-0000B3020000}"/>
    <cellStyle name="20% - Accent5 2 3 3 3 2" xfId="13810" xr:uid="{44D67BE8-2AC8-409D-9973-FE0287D04E5C}"/>
    <cellStyle name="20% - Accent5 2 3 3 4" xfId="9592" xr:uid="{D55B7C91-1E08-4EE6-A5A4-A4595E6E8A29}"/>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76E13983-82B2-4CEE-90CF-841B2334BA9D}"/>
    <cellStyle name="20% - Accent5 2 3 4 2 3" xfId="12150" xr:uid="{1973EED1-EAC3-425E-AD11-225CB1F32FF9}"/>
    <cellStyle name="20% - Accent5 2 3 4 3" xfId="5781" xr:uid="{00000000-0005-0000-0000-0000B7020000}"/>
    <cellStyle name="20% - Accent5 2 3 4 3 2" xfId="14223" xr:uid="{D0CEACFC-2CB8-4F6C-B425-6BF3D3071D5C}"/>
    <cellStyle name="20% - Accent5 2 3 4 4" xfId="10005" xr:uid="{1B2CF847-7D96-44C1-BBE8-97D82361E5A4}"/>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4B50F349-7B8A-491B-884C-A0EDCF519E4B}"/>
    <cellStyle name="20% - Accent5 2 3 5 2 3" xfId="12563" xr:uid="{F0771208-7EE0-4153-9DE5-3560259430A8}"/>
    <cellStyle name="20% - Accent5 2 3 5 3" xfId="6194" xr:uid="{00000000-0005-0000-0000-0000BB020000}"/>
    <cellStyle name="20% - Accent5 2 3 5 3 2" xfId="14636" xr:uid="{16865E79-3CD0-4ABE-9AA4-88F32B2A37AB}"/>
    <cellStyle name="20% - Accent5 2 3 5 4" xfId="10418" xr:uid="{B84EE0EF-BADE-4E97-BCFD-5EB96DA40814}"/>
    <cellStyle name="20% - Accent5 2 3 6" xfId="2300" xr:uid="{00000000-0005-0000-0000-0000BC020000}"/>
    <cellStyle name="20% - Accent5 2 3 6 2" xfId="6607" xr:uid="{00000000-0005-0000-0000-0000BD020000}"/>
    <cellStyle name="20% - Accent5 2 3 6 2 2" xfId="15049" xr:uid="{C9F7EF86-6B3C-49C7-8DB4-FB14740BBE89}"/>
    <cellStyle name="20% - Accent5 2 3 6 3" xfId="10831" xr:uid="{52393720-024D-42BE-BFC7-9C2A0FF1C11C}"/>
    <cellStyle name="20% - Accent5 2 3 7" xfId="4541" xr:uid="{00000000-0005-0000-0000-0000BE020000}"/>
    <cellStyle name="20% - Accent5 2 3 7 2" xfId="12983" xr:uid="{8173024B-B931-43A8-BA47-6D8262243564}"/>
    <cellStyle name="20% - Accent5 2 3 8" xfId="8765" xr:uid="{A4D422F7-1A00-4552-AE14-62BB2F7210F1}"/>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7CA821C8-D613-4462-B1EE-05601CF81C8D}"/>
    <cellStyle name="20% - Accent5 2 4 2 3" xfId="11321" xr:uid="{65BAAC0D-CF2A-4D4C-9C00-809C147AE485}"/>
    <cellStyle name="20% - Accent5 2 4 3" xfId="4952" xr:uid="{00000000-0005-0000-0000-0000C2020000}"/>
    <cellStyle name="20% - Accent5 2 4 3 2" xfId="13394" xr:uid="{48B65A11-D096-411A-8C76-43DA80EC6829}"/>
    <cellStyle name="20% - Accent5 2 4 4" xfId="9176" xr:uid="{BF1265DC-516A-4342-B95D-E3233DE3BE46}"/>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1B6E1D42-101E-4051-9631-A4D679A5A889}"/>
    <cellStyle name="20% - Accent5 2 5 2 3" xfId="11734" xr:uid="{48B8B042-6A6E-4CC4-8143-FD34F241AADE}"/>
    <cellStyle name="20% - Accent5 2 5 3" xfId="5365" xr:uid="{00000000-0005-0000-0000-0000C6020000}"/>
    <cellStyle name="20% - Accent5 2 5 3 2" xfId="13807" xr:uid="{982EF10D-1EA7-4BA5-A51A-2C97D6D4CC05}"/>
    <cellStyle name="20% - Accent5 2 5 4" xfId="9589" xr:uid="{1D7E8DE0-68CC-44E8-92B1-7DED5C14756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1EBB37C3-DC3B-498E-85AF-33B421B6479F}"/>
    <cellStyle name="20% - Accent5 2 6 2 3" xfId="12147" xr:uid="{3D8AEAEA-94F7-47F0-A2D4-D85ED5F8F570}"/>
    <cellStyle name="20% - Accent5 2 6 3" xfId="5778" xr:uid="{00000000-0005-0000-0000-0000CA020000}"/>
    <cellStyle name="20% - Accent5 2 6 3 2" xfId="14220" xr:uid="{60930202-EF7F-4E19-86C3-1515167AC8D1}"/>
    <cellStyle name="20% - Accent5 2 6 4" xfId="10002" xr:uid="{1B283342-D7E0-4B84-AD9B-F6E470928D4D}"/>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481C5EAB-2D54-4ACB-BC29-7811B93E74C5}"/>
    <cellStyle name="20% - Accent5 2 7 2 3" xfId="12560" xr:uid="{1D2346D3-42F8-4ACD-83B3-147BC68A0FD0}"/>
    <cellStyle name="20% - Accent5 2 7 3" xfId="6191" xr:uid="{00000000-0005-0000-0000-0000CE020000}"/>
    <cellStyle name="20% - Accent5 2 7 3 2" xfId="14633" xr:uid="{F156C213-9251-460B-8275-040F8B8BE330}"/>
    <cellStyle name="20% - Accent5 2 7 4" xfId="10415" xr:uid="{7E384783-BAEA-4BAE-9105-3EFBC051D233}"/>
    <cellStyle name="20% - Accent5 2 8" xfId="2297" xr:uid="{00000000-0005-0000-0000-0000CF020000}"/>
    <cellStyle name="20% - Accent5 2 8 2" xfId="6604" xr:uid="{00000000-0005-0000-0000-0000D0020000}"/>
    <cellStyle name="20% - Accent5 2 8 2 2" xfId="15046" xr:uid="{9A76BD83-2EB9-466E-88AB-64A73F6FC6C2}"/>
    <cellStyle name="20% - Accent5 2 8 3" xfId="10828" xr:uid="{95D526B6-A8E6-4C5E-A5E5-772D62B709C7}"/>
    <cellStyle name="20% - Accent5 2 9" xfId="4538" xr:uid="{00000000-0005-0000-0000-0000D1020000}"/>
    <cellStyle name="20% - Accent5 2 9 2" xfId="12980" xr:uid="{240B02F6-7894-4FCE-91F4-7F8B5DF80F4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8DB1614-CDA2-427C-956B-70248AF2247A}"/>
    <cellStyle name="20% - Accent5 3 2 2 2 3" xfId="11326" xr:uid="{C6A98E47-E5A2-4036-BD6E-2FC5160818DF}"/>
    <cellStyle name="20% - Accent5 3 2 2 3" xfId="4957" xr:uid="{00000000-0005-0000-0000-0000D7020000}"/>
    <cellStyle name="20% - Accent5 3 2 2 3 2" xfId="13399" xr:uid="{AEF77461-A2FA-4B92-BC0C-EA07D554D626}"/>
    <cellStyle name="20% - Accent5 3 2 2 4" xfId="9181" xr:uid="{9D40EF3C-4785-47EE-9ED6-27800D142A2D}"/>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5D63702-5EE9-4114-B28A-12EF52FAFAB4}"/>
    <cellStyle name="20% - Accent5 3 2 3 2 3" xfId="11739" xr:uid="{249761A0-1582-4810-9446-917E789C83FC}"/>
    <cellStyle name="20% - Accent5 3 2 3 3" xfId="5370" xr:uid="{00000000-0005-0000-0000-0000DB020000}"/>
    <cellStyle name="20% - Accent5 3 2 3 3 2" xfId="13812" xr:uid="{71190E66-B1A4-425A-804A-19A6FF1A5ABB}"/>
    <cellStyle name="20% - Accent5 3 2 3 4" xfId="9594" xr:uid="{2F8A70AE-AD8C-4DBD-89FD-F26B49667104}"/>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16B7ED2D-7B5B-4CF9-BD31-C37AD83E5FEF}"/>
    <cellStyle name="20% - Accent5 3 2 4 2 3" xfId="12152" xr:uid="{568E6306-D98C-48C3-A0F2-81775DEC029F}"/>
    <cellStyle name="20% - Accent5 3 2 4 3" xfId="5783" xr:uid="{00000000-0005-0000-0000-0000DF020000}"/>
    <cellStyle name="20% - Accent5 3 2 4 3 2" xfId="14225" xr:uid="{D28DB3A9-EDBE-409D-A088-E2532C03FFDB}"/>
    <cellStyle name="20% - Accent5 3 2 4 4" xfId="10007" xr:uid="{65278715-31EF-4E0A-8151-FBEFDA354176}"/>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6F8C197-26EA-45A7-8438-76B6C2F17C5A}"/>
    <cellStyle name="20% - Accent5 3 2 5 2 3" xfId="12565" xr:uid="{E4483A7B-79F9-4F76-9F5C-CECBB2DF9196}"/>
    <cellStyle name="20% - Accent5 3 2 5 3" xfId="6196" xr:uid="{00000000-0005-0000-0000-0000E3020000}"/>
    <cellStyle name="20% - Accent5 3 2 5 3 2" xfId="14638" xr:uid="{9862225C-C3EA-4D4E-B091-A06744085FA4}"/>
    <cellStyle name="20% - Accent5 3 2 5 4" xfId="10420" xr:uid="{2F399DC2-6A78-4429-AA7D-7968B6AF826C}"/>
    <cellStyle name="20% - Accent5 3 2 6" xfId="2302" xr:uid="{00000000-0005-0000-0000-0000E4020000}"/>
    <cellStyle name="20% - Accent5 3 2 6 2" xfId="6609" xr:uid="{00000000-0005-0000-0000-0000E5020000}"/>
    <cellStyle name="20% - Accent5 3 2 6 2 2" xfId="15051" xr:uid="{F922C9CB-3E87-49BB-8391-D9A7F8CD9A3F}"/>
    <cellStyle name="20% - Accent5 3 2 6 3" xfId="10833" xr:uid="{90E005A2-2736-4696-99C7-96374CAB1CD3}"/>
    <cellStyle name="20% - Accent5 3 2 7" xfId="4543" xr:uid="{00000000-0005-0000-0000-0000E6020000}"/>
    <cellStyle name="20% - Accent5 3 2 7 2" xfId="12985" xr:uid="{7794584D-B9EB-41C0-938E-9EB06B9F07E8}"/>
    <cellStyle name="20% - Accent5 3 2 8" xfId="8767" xr:uid="{68C0CD5A-833B-4358-96A9-583E173A8156}"/>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F96AB4B9-83B6-4F78-B613-388F8D1467EB}"/>
    <cellStyle name="20% - Accent5 3 3 2 3" xfId="11325" xr:uid="{CE8A5102-402D-40B5-B17D-6EB5C1670201}"/>
    <cellStyle name="20% - Accent5 3 3 3" xfId="4956" xr:uid="{00000000-0005-0000-0000-0000EA020000}"/>
    <cellStyle name="20% - Accent5 3 3 3 2" xfId="13398" xr:uid="{B1B1CFC9-FF7C-40F8-935C-BD4E8D11FD95}"/>
    <cellStyle name="20% - Accent5 3 3 4" xfId="9180" xr:uid="{1866B429-4A55-4ACE-AB38-BE7B1215ADE7}"/>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111664D9-6DB2-4BAE-A5A1-6C5F90663868}"/>
    <cellStyle name="20% - Accent5 3 4 2 3" xfId="11738" xr:uid="{50943253-A37E-48A5-8E10-76A023F666AD}"/>
    <cellStyle name="20% - Accent5 3 4 3" xfId="5369" xr:uid="{00000000-0005-0000-0000-0000EE020000}"/>
    <cellStyle name="20% - Accent5 3 4 3 2" xfId="13811" xr:uid="{ACDE8185-D4B3-47A0-A84D-F9C01C6981E2}"/>
    <cellStyle name="20% - Accent5 3 4 4" xfId="9593" xr:uid="{907FFCD6-36B5-4D29-BBE8-F774FDD554DE}"/>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10F9ED79-00B6-44BF-9C55-3FBBB5B7BB1B}"/>
    <cellStyle name="20% - Accent5 3 5 2 3" xfId="12151" xr:uid="{CB4B8499-56D2-4286-A29C-372D6269A258}"/>
    <cellStyle name="20% - Accent5 3 5 3" xfId="5782" xr:uid="{00000000-0005-0000-0000-0000F2020000}"/>
    <cellStyle name="20% - Accent5 3 5 3 2" xfId="14224" xr:uid="{D2BC9C59-4794-47AD-B993-7C03E69E2872}"/>
    <cellStyle name="20% - Accent5 3 5 4" xfId="10006" xr:uid="{02AD5DB1-D012-450A-AC32-1A59509CFE16}"/>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94D98D84-2B43-4091-9E2E-D2F94B81E81B}"/>
    <cellStyle name="20% - Accent5 3 6 2 3" xfId="12564" xr:uid="{07F8B753-4EB3-4EF6-A0FC-F03F873DA257}"/>
    <cellStyle name="20% - Accent5 3 6 3" xfId="6195" xr:uid="{00000000-0005-0000-0000-0000F6020000}"/>
    <cellStyle name="20% - Accent5 3 6 3 2" xfId="14637" xr:uid="{AE619EC6-411B-4FC7-896A-19702D6203AE}"/>
    <cellStyle name="20% - Accent5 3 6 4" xfId="10419" xr:uid="{9243DD3A-A2C1-4A59-AC46-A2E4F35AD9CB}"/>
    <cellStyle name="20% - Accent5 3 7" xfId="2301" xr:uid="{00000000-0005-0000-0000-0000F7020000}"/>
    <cellStyle name="20% - Accent5 3 7 2" xfId="6608" xr:uid="{00000000-0005-0000-0000-0000F8020000}"/>
    <cellStyle name="20% - Accent5 3 7 2 2" xfId="15050" xr:uid="{3D06AF63-36F3-475F-AA0C-3BF2753223D0}"/>
    <cellStyle name="20% - Accent5 3 7 3" xfId="10832" xr:uid="{880A61BB-3F4C-4481-9FDB-B00E059B656E}"/>
    <cellStyle name="20% - Accent5 3 8" xfId="4542" xr:uid="{00000000-0005-0000-0000-0000F9020000}"/>
    <cellStyle name="20% - Accent5 3 8 2" xfId="12984" xr:uid="{D6A47E05-083B-416A-8FD6-AB6D95DE9191}"/>
    <cellStyle name="20% - Accent5 3 9" xfId="8766" xr:uid="{FC717B19-F527-4008-9D44-115A86DA19EA}"/>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137D7DB4-A8B9-428B-AEF7-7A4A0EE471A1}"/>
    <cellStyle name="20% - Accent5 4 2 2 3" xfId="11327" xr:uid="{C67857A7-C666-4DEF-846A-A28A206C4678}"/>
    <cellStyle name="20% - Accent5 4 2 3" xfId="4958" xr:uid="{00000000-0005-0000-0000-0000FE020000}"/>
    <cellStyle name="20% - Accent5 4 2 3 2" xfId="13400" xr:uid="{9251B906-1803-4F05-81B1-584E0B65E742}"/>
    <cellStyle name="20% - Accent5 4 2 4" xfId="9182" xr:uid="{7F0974A8-BE1F-4358-96D1-CB55A61CBF1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0A6853C8-1252-4549-9024-2D501B4D5CF7}"/>
    <cellStyle name="20% - Accent5 4 3 2 3" xfId="11740" xr:uid="{C0880E6F-144D-4D94-9917-8DFA5D87A81D}"/>
    <cellStyle name="20% - Accent5 4 3 3" xfId="5371" xr:uid="{00000000-0005-0000-0000-000002030000}"/>
    <cellStyle name="20% - Accent5 4 3 3 2" xfId="13813" xr:uid="{0E540E00-C7E6-4C9E-AACC-4387984BF124}"/>
    <cellStyle name="20% - Accent5 4 3 4" xfId="9595" xr:uid="{12E4AD67-DD71-416D-8842-7274D8A049AD}"/>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CC24197B-5558-4B1F-AE88-A5D144E7F144}"/>
    <cellStyle name="20% - Accent5 4 4 2 3" xfId="12153" xr:uid="{8CA8D49D-1F18-4721-A1E2-56A85B8D84CF}"/>
    <cellStyle name="20% - Accent5 4 4 3" xfId="5784" xr:uid="{00000000-0005-0000-0000-000006030000}"/>
    <cellStyle name="20% - Accent5 4 4 3 2" xfId="14226" xr:uid="{191AB7A9-6E7B-4083-B000-173F2E7865DD}"/>
    <cellStyle name="20% - Accent5 4 4 4" xfId="10008" xr:uid="{34408878-C536-4322-9598-1DF7C3BB9900}"/>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C0974BAA-5D5D-4D4C-9AA9-EF16E15511C7}"/>
    <cellStyle name="20% - Accent5 4 5 2 3" xfId="12566" xr:uid="{5C941F93-4B9D-4C6D-B0AF-395050B0C2CF}"/>
    <cellStyle name="20% - Accent5 4 5 3" xfId="6197" xr:uid="{00000000-0005-0000-0000-00000A030000}"/>
    <cellStyle name="20% - Accent5 4 5 3 2" xfId="14639" xr:uid="{AE7FC627-E2BF-4660-91EC-D0A9BD06F136}"/>
    <cellStyle name="20% - Accent5 4 5 4" xfId="10421" xr:uid="{0B51CF89-9D73-411C-84D2-F5C648991230}"/>
    <cellStyle name="20% - Accent5 4 6" xfId="2303" xr:uid="{00000000-0005-0000-0000-00000B030000}"/>
    <cellStyle name="20% - Accent5 4 6 2" xfId="6610" xr:uid="{00000000-0005-0000-0000-00000C030000}"/>
    <cellStyle name="20% - Accent5 4 6 2 2" xfId="15052" xr:uid="{EE4E73A2-6494-4B86-960B-6B936D098AF8}"/>
    <cellStyle name="20% - Accent5 4 6 3" xfId="10834" xr:uid="{FAE18CE8-C48F-4332-979E-5279CA98B5B9}"/>
    <cellStyle name="20% - Accent5 4 7" xfId="4544" xr:uid="{00000000-0005-0000-0000-00000D030000}"/>
    <cellStyle name="20% - Accent5 4 7 2" xfId="12986" xr:uid="{ACD4A794-5EBE-4363-91F5-3EE7478B1AE2}"/>
    <cellStyle name="20% - Accent5 4 8" xfId="8768" xr:uid="{A568C8F1-7297-4281-9404-B982F85FCD78}"/>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A5DDA6A-BFE3-4880-B9D7-5EFB7477E6F9}"/>
    <cellStyle name="20% - Accent5 5 2 3" xfId="11320" xr:uid="{85F475EA-D022-4C7B-B55B-FC396EBFEE8C}"/>
    <cellStyle name="20% - Accent5 5 3" xfId="4951" xr:uid="{00000000-0005-0000-0000-000011030000}"/>
    <cellStyle name="20% - Accent5 5 3 2" xfId="13393" xr:uid="{5F15BAC6-391B-4313-B1D9-14F4B292D366}"/>
    <cellStyle name="20% - Accent5 5 4" xfId="9175" xr:uid="{ED04071A-D7D0-46CD-BD68-93B1ED890C0A}"/>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C8FB03DF-D6E0-4E9A-8111-168C27635C6C}"/>
    <cellStyle name="20% - Accent5 6 2 3" xfId="11733" xr:uid="{D5EB75C8-E804-4DAB-B736-7BFB4754767A}"/>
    <cellStyle name="20% - Accent5 6 3" xfId="5364" xr:uid="{00000000-0005-0000-0000-000015030000}"/>
    <cellStyle name="20% - Accent5 6 3 2" xfId="13806" xr:uid="{16E9A6F6-CA0A-4E78-BF83-7F6D0F922D0D}"/>
    <cellStyle name="20% - Accent5 6 4" xfId="9588" xr:uid="{A8916757-1953-456F-A03C-D3BCF3C0510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7DBB2FCA-DF3A-441D-8656-4D44F57FDE43}"/>
    <cellStyle name="20% - Accent5 7 2 3" xfId="12146" xr:uid="{DE20B42A-8389-41DD-BAE5-F713A9413886}"/>
    <cellStyle name="20% - Accent5 7 3" xfId="5777" xr:uid="{00000000-0005-0000-0000-000019030000}"/>
    <cellStyle name="20% - Accent5 7 3 2" xfId="14219" xr:uid="{115A5F16-90A5-4D76-B87A-A48B87A61A4E}"/>
    <cellStyle name="20% - Accent5 7 4" xfId="10001" xr:uid="{CEB76E2B-3220-4CFE-BCAD-B6B33A9B56C5}"/>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D12A5AC-64D8-4436-9ECB-6E192AABC67B}"/>
    <cellStyle name="20% - Accent5 8 2 3" xfId="12559" xr:uid="{69DC9C6E-5BAE-4E94-82D3-05E97BE501DA}"/>
    <cellStyle name="20% - Accent5 8 3" xfId="6190" xr:uid="{00000000-0005-0000-0000-00001D030000}"/>
    <cellStyle name="20% - Accent5 8 3 2" xfId="14632" xr:uid="{65BFC826-6D63-4EA9-B66B-CC7BB5BDD69C}"/>
    <cellStyle name="20% - Accent5 8 4" xfId="10414" xr:uid="{A22C8B3E-F65D-4A73-B099-D0A9C8166438}"/>
    <cellStyle name="20% - Accent5 9" xfId="2296" xr:uid="{00000000-0005-0000-0000-00001E030000}"/>
    <cellStyle name="20% - Accent5 9 2" xfId="6603" xr:uid="{00000000-0005-0000-0000-00001F030000}"/>
    <cellStyle name="20% - Accent5 9 2 2" xfId="15045" xr:uid="{12927866-2479-4E3D-A89D-64AD89A597A5}"/>
    <cellStyle name="20% - Accent5 9 3" xfId="10827" xr:uid="{7475E6AC-842F-4DA9-988C-92035EAFA64C}"/>
    <cellStyle name="20% - Accent6" xfId="41" builtinId="50" customBuiltin="1"/>
    <cellStyle name="20% - Accent6 10" xfId="4545" xr:uid="{00000000-0005-0000-0000-000021030000}"/>
    <cellStyle name="20% - Accent6 10 2" xfId="12987" xr:uid="{73C439A4-9CB1-483C-B82D-56D30EFE4B9B}"/>
    <cellStyle name="20% - Accent6 11" xfId="8769" xr:uid="{AA1BF536-4021-4B4E-AB63-83E38565B1B7}"/>
    <cellStyle name="20% - Accent6 2" xfId="42" xr:uid="{00000000-0005-0000-0000-000022030000}"/>
    <cellStyle name="20% - Accent6 2 10" xfId="8770" xr:uid="{4F689D96-A10F-4503-84AF-2FD0EBD307E5}"/>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0720B5B3-939F-4E9E-A956-50058C4E500B}"/>
    <cellStyle name="20% - Accent6 2 2 2 2 2 3" xfId="11331" xr:uid="{3D3C5721-0B73-468F-A08D-0B1D97D319C9}"/>
    <cellStyle name="20% - Accent6 2 2 2 2 3" xfId="4962" xr:uid="{00000000-0005-0000-0000-000028030000}"/>
    <cellStyle name="20% - Accent6 2 2 2 2 3 2" xfId="13404" xr:uid="{35EB643A-29E0-4113-ADA9-15BAAD594E07}"/>
    <cellStyle name="20% - Accent6 2 2 2 2 4" xfId="9186" xr:uid="{BFA6EBC7-72FC-4703-BBDF-C5086AD556B1}"/>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5FA447AE-A58A-4B03-8583-0D1DC9D5102D}"/>
    <cellStyle name="20% - Accent6 2 2 2 3 2 3" xfId="11744" xr:uid="{36A52B7B-2FF0-4931-B406-EE9E55C85B53}"/>
    <cellStyle name="20% - Accent6 2 2 2 3 3" xfId="5375" xr:uid="{00000000-0005-0000-0000-00002C030000}"/>
    <cellStyle name="20% - Accent6 2 2 2 3 3 2" xfId="13817" xr:uid="{C5B8D16E-1FB5-4C51-BF70-67676789613E}"/>
    <cellStyle name="20% - Accent6 2 2 2 3 4" xfId="9599" xr:uid="{B66116D9-C7A9-4B2B-BA3D-39197219D28A}"/>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0E2CBB7E-3EB5-4A09-A1DB-FA6FFC1AD443}"/>
    <cellStyle name="20% - Accent6 2 2 2 4 2 3" xfId="12157" xr:uid="{FAF0071D-1B5D-40CE-9678-719CAEC37A5F}"/>
    <cellStyle name="20% - Accent6 2 2 2 4 3" xfId="5788" xr:uid="{00000000-0005-0000-0000-000030030000}"/>
    <cellStyle name="20% - Accent6 2 2 2 4 3 2" xfId="14230" xr:uid="{D1A2DDDA-54F6-441D-8695-306A6503D33A}"/>
    <cellStyle name="20% - Accent6 2 2 2 4 4" xfId="10012" xr:uid="{0CCB64F4-9A8C-4867-9112-57731403F509}"/>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338FFC00-9CEE-44D1-AA3B-C8D1C103E2FB}"/>
    <cellStyle name="20% - Accent6 2 2 2 5 2 3" xfId="12570" xr:uid="{50B0B922-405F-4150-BCB3-42E9E0422390}"/>
    <cellStyle name="20% - Accent6 2 2 2 5 3" xfId="6201" xr:uid="{00000000-0005-0000-0000-000034030000}"/>
    <cellStyle name="20% - Accent6 2 2 2 5 3 2" xfId="14643" xr:uid="{09760294-6717-4368-B244-00A3105EDB34}"/>
    <cellStyle name="20% - Accent6 2 2 2 5 4" xfId="10425" xr:uid="{522233E1-090B-4367-A362-47A8299FC192}"/>
    <cellStyle name="20% - Accent6 2 2 2 6" xfId="2307" xr:uid="{00000000-0005-0000-0000-000035030000}"/>
    <cellStyle name="20% - Accent6 2 2 2 6 2" xfId="6614" xr:uid="{00000000-0005-0000-0000-000036030000}"/>
    <cellStyle name="20% - Accent6 2 2 2 6 2 2" xfId="15056" xr:uid="{4F52343F-5C9E-4155-8C95-A1118CA10183}"/>
    <cellStyle name="20% - Accent6 2 2 2 6 3" xfId="10838" xr:uid="{42DD8C3F-2267-48D1-B939-D4C67EAF4E4B}"/>
    <cellStyle name="20% - Accent6 2 2 2 7" xfId="4548" xr:uid="{00000000-0005-0000-0000-000037030000}"/>
    <cellStyle name="20% - Accent6 2 2 2 7 2" xfId="12990" xr:uid="{9BCDBB25-535A-4627-AA3B-EF20B586DFFD}"/>
    <cellStyle name="20% - Accent6 2 2 2 8" xfId="8772" xr:uid="{8A0576C8-CFB0-410F-AF00-DFCE081418E5}"/>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32F8B62A-B8DC-4FF2-8C0D-77726C26EA13}"/>
    <cellStyle name="20% - Accent6 2 2 3 2 3" xfId="11330" xr:uid="{D04310D1-9DDB-485C-B805-3A2C70FA927D}"/>
    <cellStyle name="20% - Accent6 2 2 3 3" xfId="4961" xr:uid="{00000000-0005-0000-0000-00003B030000}"/>
    <cellStyle name="20% - Accent6 2 2 3 3 2" xfId="13403" xr:uid="{A3EA9964-0773-454A-BD99-CFB644A7FE6A}"/>
    <cellStyle name="20% - Accent6 2 2 3 4" xfId="9185" xr:uid="{45BF65AA-7EEA-424C-8828-C407E90DB41C}"/>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41414807-76E3-48C4-839E-DD738D08F270}"/>
    <cellStyle name="20% - Accent6 2 2 4 2 3" xfId="11743" xr:uid="{7FE290B9-2BA4-4DB1-A9FD-55CA56EB3FAD}"/>
    <cellStyle name="20% - Accent6 2 2 4 3" xfId="5374" xr:uid="{00000000-0005-0000-0000-00003F030000}"/>
    <cellStyle name="20% - Accent6 2 2 4 3 2" xfId="13816" xr:uid="{EBEAF9A5-E464-45FF-ABFA-4C9FB71FF1D3}"/>
    <cellStyle name="20% - Accent6 2 2 4 4" xfId="9598" xr:uid="{876BC20A-DC06-4992-B4F0-B930AE5331D6}"/>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A5952027-A18E-4FA3-94D0-6F5A42060A35}"/>
    <cellStyle name="20% - Accent6 2 2 5 2 3" xfId="12156" xr:uid="{336979CF-1B2C-4012-84D4-1F6C02C8BE7A}"/>
    <cellStyle name="20% - Accent6 2 2 5 3" xfId="5787" xr:uid="{00000000-0005-0000-0000-000043030000}"/>
    <cellStyle name="20% - Accent6 2 2 5 3 2" xfId="14229" xr:uid="{F1484284-07E1-4866-8F48-92888BFD097A}"/>
    <cellStyle name="20% - Accent6 2 2 5 4" xfId="10011" xr:uid="{B3D02697-352C-4ACC-A1B6-E98C752F38DA}"/>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77B70BD1-04B7-4616-9E14-59704083E3BB}"/>
    <cellStyle name="20% - Accent6 2 2 6 2 3" xfId="12569" xr:uid="{E3AFAFAE-9AB6-4778-B170-8F5E1DD9A0B8}"/>
    <cellStyle name="20% - Accent6 2 2 6 3" xfId="6200" xr:uid="{00000000-0005-0000-0000-000047030000}"/>
    <cellStyle name="20% - Accent6 2 2 6 3 2" xfId="14642" xr:uid="{3C4A3DC7-54C6-410B-A2C8-5613B40B2F3C}"/>
    <cellStyle name="20% - Accent6 2 2 6 4" xfId="10424" xr:uid="{1B0B7DFB-4782-4900-BB2A-5EC37021004D}"/>
    <cellStyle name="20% - Accent6 2 2 7" xfId="2306" xr:uid="{00000000-0005-0000-0000-000048030000}"/>
    <cellStyle name="20% - Accent6 2 2 7 2" xfId="6613" xr:uid="{00000000-0005-0000-0000-000049030000}"/>
    <cellStyle name="20% - Accent6 2 2 7 2 2" xfId="15055" xr:uid="{61451B3D-9B5C-433A-9939-40ACBF467F58}"/>
    <cellStyle name="20% - Accent6 2 2 7 3" xfId="10837" xr:uid="{EE5EB007-827C-47C2-8195-3FD0223A2EC6}"/>
    <cellStyle name="20% - Accent6 2 2 8" xfId="4547" xr:uid="{00000000-0005-0000-0000-00004A030000}"/>
    <cellStyle name="20% - Accent6 2 2 8 2" xfId="12989" xr:uid="{20AE5D20-88BE-4B8A-A653-CB5B5B04A39C}"/>
    <cellStyle name="20% - Accent6 2 2 9" xfId="8771" xr:uid="{201B2E14-BDB3-4252-8D54-3A9742CA64C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53E88FE4-3AAE-4762-BA50-9FFA438018A6}"/>
    <cellStyle name="20% - Accent6 2 3 2 2 3" xfId="11332" xr:uid="{B77398E7-B2E8-443B-9834-5E7E2CDFC0C5}"/>
    <cellStyle name="20% - Accent6 2 3 2 3" xfId="4963" xr:uid="{00000000-0005-0000-0000-00004F030000}"/>
    <cellStyle name="20% - Accent6 2 3 2 3 2" xfId="13405" xr:uid="{923A06C7-5672-4EE9-B543-FBC098458F6F}"/>
    <cellStyle name="20% - Accent6 2 3 2 4" xfId="9187" xr:uid="{3C9B94A1-EA27-4EAA-9360-9D579FECC75A}"/>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1C2C273A-471C-4956-A2EA-860DBEAED561}"/>
    <cellStyle name="20% - Accent6 2 3 3 2 3" xfId="11745" xr:uid="{D89EF4BE-E758-4258-A822-A1AEA9677A5B}"/>
    <cellStyle name="20% - Accent6 2 3 3 3" xfId="5376" xr:uid="{00000000-0005-0000-0000-000053030000}"/>
    <cellStyle name="20% - Accent6 2 3 3 3 2" xfId="13818" xr:uid="{C9097DB2-4A62-4ACB-B30F-B005D9C426FB}"/>
    <cellStyle name="20% - Accent6 2 3 3 4" xfId="9600" xr:uid="{E87E88F7-B2E8-4A55-990F-351020A93487}"/>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4F249633-F6E7-4BBD-A927-7FD6260EE6F6}"/>
    <cellStyle name="20% - Accent6 2 3 4 2 3" xfId="12158" xr:uid="{709578F9-4410-44C8-819E-E202CB275527}"/>
    <cellStyle name="20% - Accent6 2 3 4 3" xfId="5789" xr:uid="{00000000-0005-0000-0000-000057030000}"/>
    <cellStyle name="20% - Accent6 2 3 4 3 2" xfId="14231" xr:uid="{3352CD19-5ACB-4902-8FA5-F6AF9A202B59}"/>
    <cellStyle name="20% - Accent6 2 3 4 4" xfId="10013" xr:uid="{6DA2A6C5-6A65-4706-8CDA-F8F9F1FAC52A}"/>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D638F5A5-3988-4A0C-A194-D570766B4F28}"/>
    <cellStyle name="20% - Accent6 2 3 5 2 3" xfId="12571" xr:uid="{21C19717-EFCC-4F34-B267-C8C31B1CB454}"/>
    <cellStyle name="20% - Accent6 2 3 5 3" xfId="6202" xr:uid="{00000000-0005-0000-0000-00005B030000}"/>
    <cellStyle name="20% - Accent6 2 3 5 3 2" xfId="14644" xr:uid="{603C25AB-2039-424F-9B99-B860C268CFB4}"/>
    <cellStyle name="20% - Accent6 2 3 5 4" xfId="10426" xr:uid="{EB2BA762-D9D8-49E7-BACE-EDF5BE16CBEC}"/>
    <cellStyle name="20% - Accent6 2 3 6" xfId="2308" xr:uid="{00000000-0005-0000-0000-00005C030000}"/>
    <cellStyle name="20% - Accent6 2 3 6 2" xfId="6615" xr:uid="{00000000-0005-0000-0000-00005D030000}"/>
    <cellStyle name="20% - Accent6 2 3 6 2 2" xfId="15057" xr:uid="{C3370272-1344-46CC-8C46-54514F4E8069}"/>
    <cellStyle name="20% - Accent6 2 3 6 3" xfId="10839" xr:uid="{C4E28C91-7DAF-47FD-8C2D-32D5A9509412}"/>
    <cellStyle name="20% - Accent6 2 3 7" xfId="4549" xr:uid="{00000000-0005-0000-0000-00005E030000}"/>
    <cellStyle name="20% - Accent6 2 3 7 2" xfId="12991" xr:uid="{41E831D5-4FEB-488B-80BC-480E0B138E76}"/>
    <cellStyle name="20% - Accent6 2 3 8" xfId="8773" xr:uid="{2392B0FF-CFA7-48B4-9A66-56B784629843}"/>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73E8325D-F829-49C5-BEDC-FC24EC042963}"/>
    <cellStyle name="20% - Accent6 2 4 2 3" xfId="11329" xr:uid="{E2061130-9998-4BF4-B38D-A2921032E84F}"/>
    <cellStyle name="20% - Accent6 2 4 3" xfId="4960" xr:uid="{00000000-0005-0000-0000-000062030000}"/>
    <cellStyle name="20% - Accent6 2 4 3 2" xfId="13402" xr:uid="{357295E1-556A-4605-A6D4-2EEA3AD3F7E6}"/>
    <cellStyle name="20% - Accent6 2 4 4" xfId="9184" xr:uid="{4838AA72-3B34-4078-BECB-F527765BDDF6}"/>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F6AB2D47-13B7-4E6F-A6DF-9D4951034719}"/>
    <cellStyle name="20% - Accent6 2 5 2 3" xfId="11742" xr:uid="{D8C4728A-B63A-4B8E-90D0-18E235689FC9}"/>
    <cellStyle name="20% - Accent6 2 5 3" xfId="5373" xr:uid="{00000000-0005-0000-0000-000066030000}"/>
    <cellStyle name="20% - Accent6 2 5 3 2" xfId="13815" xr:uid="{A4AA56FB-3382-4F17-8DD5-19EABC7F4289}"/>
    <cellStyle name="20% - Accent6 2 5 4" xfId="9597" xr:uid="{E5793A2F-A3AE-4E1B-BF11-E4024ED65531}"/>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C23F6856-6EBA-4A60-AA77-FB4513F50135}"/>
    <cellStyle name="20% - Accent6 2 6 2 3" xfId="12155" xr:uid="{E976EE22-12FF-4B20-9FB9-B1F9974F0CA7}"/>
    <cellStyle name="20% - Accent6 2 6 3" xfId="5786" xr:uid="{00000000-0005-0000-0000-00006A030000}"/>
    <cellStyle name="20% - Accent6 2 6 3 2" xfId="14228" xr:uid="{EE0C6365-65D6-4F7C-85C0-5E5F3A831D2E}"/>
    <cellStyle name="20% - Accent6 2 6 4" xfId="10010" xr:uid="{D9D89F9D-79D5-41EB-BFD6-D8C8FAE9B4E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BAB8F1D6-5200-4ED3-8B0D-B9CD55C5D0EB}"/>
    <cellStyle name="20% - Accent6 2 7 2 3" xfId="12568" xr:uid="{2B3035CE-E12F-494D-85A1-4691CDF415EC}"/>
    <cellStyle name="20% - Accent6 2 7 3" xfId="6199" xr:uid="{00000000-0005-0000-0000-00006E030000}"/>
    <cellStyle name="20% - Accent6 2 7 3 2" xfId="14641" xr:uid="{F5B7E7BB-4DDB-4F0A-A84C-581C29BC0910}"/>
    <cellStyle name="20% - Accent6 2 7 4" xfId="10423" xr:uid="{784265FF-288E-423C-9A7A-EF0DBCBFA48B}"/>
    <cellStyle name="20% - Accent6 2 8" xfId="2305" xr:uid="{00000000-0005-0000-0000-00006F030000}"/>
    <cellStyle name="20% - Accent6 2 8 2" xfId="6612" xr:uid="{00000000-0005-0000-0000-000070030000}"/>
    <cellStyle name="20% - Accent6 2 8 2 2" xfId="15054" xr:uid="{AF7B281B-7397-4F09-AAD6-1DB2CA8BF6B4}"/>
    <cellStyle name="20% - Accent6 2 8 3" xfId="10836" xr:uid="{DA58E519-21D5-4D5E-BA90-20ACB562FCB9}"/>
    <cellStyle name="20% - Accent6 2 9" xfId="4546" xr:uid="{00000000-0005-0000-0000-000071030000}"/>
    <cellStyle name="20% - Accent6 2 9 2" xfId="12988" xr:uid="{6AAA6485-8094-48FC-93F8-35EB3413597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2406080D-6164-4D88-BCB7-AB106DA8CFFC}"/>
    <cellStyle name="20% - Accent6 3 2 2 2 3" xfId="11334" xr:uid="{0A9315E7-8D7B-4D13-B221-A736B82AA138}"/>
    <cellStyle name="20% - Accent6 3 2 2 3" xfId="4965" xr:uid="{00000000-0005-0000-0000-000077030000}"/>
    <cellStyle name="20% - Accent6 3 2 2 3 2" xfId="13407" xr:uid="{25256FCC-3450-4293-B511-BB5EE573BBB9}"/>
    <cellStyle name="20% - Accent6 3 2 2 4" xfId="9189" xr:uid="{82E50CE4-1230-43FE-B7A7-6B2ECEDF71EE}"/>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682D675E-6B0B-40EB-A50E-D02F3C32EB17}"/>
    <cellStyle name="20% - Accent6 3 2 3 2 3" xfId="11747" xr:uid="{98C7DC25-9796-48AA-87A3-00DAA1036F90}"/>
    <cellStyle name="20% - Accent6 3 2 3 3" xfId="5378" xr:uid="{00000000-0005-0000-0000-00007B030000}"/>
    <cellStyle name="20% - Accent6 3 2 3 3 2" xfId="13820" xr:uid="{5ACA4DBE-E914-4100-BD8D-05AC5EDDDA85}"/>
    <cellStyle name="20% - Accent6 3 2 3 4" xfId="9602" xr:uid="{C1DF69DB-97DC-429C-90E2-91D2630AA9B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393C1B00-F628-4CED-8877-996D8D35F502}"/>
    <cellStyle name="20% - Accent6 3 2 4 2 3" xfId="12160" xr:uid="{F3F4306E-5CE1-4023-B546-8186BC3031F7}"/>
    <cellStyle name="20% - Accent6 3 2 4 3" xfId="5791" xr:uid="{00000000-0005-0000-0000-00007F030000}"/>
    <cellStyle name="20% - Accent6 3 2 4 3 2" xfId="14233" xr:uid="{DB61DA6D-DE0B-41A7-8F29-9132926BCDAF}"/>
    <cellStyle name="20% - Accent6 3 2 4 4" xfId="10015" xr:uid="{131C4373-F226-4CAE-893E-6F6E25141966}"/>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36BD6302-5222-44F4-99CD-735B6E4772B3}"/>
    <cellStyle name="20% - Accent6 3 2 5 2 3" xfId="12573" xr:uid="{D7C800CF-D992-44A4-AB55-A6B2529DA1D3}"/>
    <cellStyle name="20% - Accent6 3 2 5 3" xfId="6204" xr:uid="{00000000-0005-0000-0000-000083030000}"/>
    <cellStyle name="20% - Accent6 3 2 5 3 2" xfId="14646" xr:uid="{47E15523-8F6B-4B65-9CE1-22DFA6FF7C0D}"/>
    <cellStyle name="20% - Accent6 3 2 5 4" xfId="10428" xr:uid="{BE79F2D7-A118-4AB5-BF5C-4130AE5D8357}"/>
    <cellStyle name="20% - Accent6 3 2 6" xfId="2310" xr:uid="{00000000-0005-0000-0000-000084030000}"/>
    <cellStyle name="20% - Accent6 3 2 6 2" xfId="6617" xr:uid="{00000000-0005-0000-0000-000085030000}"/>
    <cellStyle name="20% - Accent6 3 2 6 2 2" xfId="15059" xr:uid="{E1006359-999D-45D4-B2CC-B13F36A42053}"/>
    <cellStyle name="20% - Accent6 3 2 6 3" xfId="10841" xr:uid="{7D46752F-DAB6-4D12-A45C-CB2D5106F6E4}"/>
    <cellStyle name="20% - Accent6 3 2 7" xfId="4551" xr:uid="{00000000-0005-0000-0000-000086030000}"/>
    <cellStyle name="20% - Accent6 3 2 7 2" xfId="12993" xr:uid="{F4071B2D-8915-431B-A99E-C4C9C3525B43}"/>
    <cellStyle name="20% - Accent6 3 2 8" xfId="8775" xr:uid="{FD6A9B38-9E1E-4D7C-85B5-33D13863A47F}"/>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18823E42-1292-4CE2-9A43-6D93053160A8}"/>
    <cellStyle name="20% - Accent6 3 3 2 3" xfId="11333" xr:uid="{8F9DB301-2654-42ED-9564-5660D531A6D1}"/>
    <cellStyle name="20% - Accent6 3 3 3" xfId="4964" xr:uid="{00000000-0005-0000-0000-00008A030000}"/>
    <cellStyle name="20% - Accent6 3 3 3 2" xfId="13406" xr:uid="{6EAAEA01-1E5C-4B25-9F5C-0457AF29D700}"/>
    <cellStyle name="20% - Accent6 3 3 4" xfId="9188" xr:uid="{035A888C-B5C2-4410-B22D-F2F5D1C30733}"/>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E1991DC5-DD07-4E38-881D-8BC9DC0023B9}"/>
    <cellStyle name="20% - Accent6 3 4 2 3" xfId="11746" xr:uid="{C27BFEB9-3385-4023-9538-7B9808E4F2B9}"/>
    <cellStyle name="20% - Accent6 3 4 3" xfId="5377" xr:uid="{00000000-0005-0000-0000-00008E030000}"/>
    <cellStyle name="20% - Accent6 3 4 3 2" xfId="13819" xr:uid="{60F40E06-8642-4816-A4E8-951BDD8265E4}"/>
    <cellStyle name="20% - Accent6 3 4 4" xfId="9601" xr:uid="{4636B9D5-9FAD-42F8-BDA6-4DB63EA13C95}"/>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1E921566-B24E-454E-9C64-C92C62EC4C28}"/>
    <cellStyle name="20% - Accent6 3 5 2 3" xfId="12159" xr:uid="{D7B7C293-EEFE-4B49-99DC-A6F555E3A160}"/>
    <cellStyle name="20% - Accent6 3 5 3" xfId="5790" xr:uid="{00000000-0005-0000-0000-000092030000}"/>
    <cellStyle name="20% - Accent6 3 5 3 2" xfId="14232" xr:uid="{8F425B3D-7E1F-4914-83A3-4E6C3CA2B7A2}"/>
    <cellStyle name="20% - Accent6 3 5 4" xfId="10014" xr:uid="{056F1BD7-10F6-40F0-A161-8290DC070EC4}"/>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7C222D0D-F836-4215-8CB5-258F6F8BA6E1}"/>
    <cellStyle name="20% - Accent6 3 6 2 3" xfId="12572" xr:uid="{233821BD-DE8B-4A39-BCE4-878F84D8DF31}"/>
    <cellStyle name="20% - Accent6 3 6 3" xfId="6203" xr:uid="{00000000-0005-0000-0000-000096030000}"/>
    <cellStyle name="20% - Accent6 3 6 3 2" xfId="14645" xr:uid="{91734890-6BCF-48A4-A510-37751055F341}"/>
    <cellStyle name="20% - Accent6 3 6 4" xfId="10427" xr:uid="{FD121DB1-ED58-423E-B0D4-E26BDB8B3474}"/>
    <cellStyle name="20% - Accent6 3 7" xfId="2309" xr:uid="{00000000-0005-0000-0000-000097030000}"/>
    <cellStyle name="20% - Accent6 3 7 2" xfId="6616" xr:uid="{00000000-0005-0000-0000-000098030000}"/>
    <cellStyle name="20% - Accent6 3 7 2 2" xfId="15058" xr:uid="{B87B5A2C-5322-4299-A1EE-A7EE0FB6C730}"/>
    <cellStyle name="20% - Accent6 3 7 3" xfId="10840" xr:uid="{3A6EAF83-A597-41EE-9A87-29222E092557}"/>
    <cellStyle name="20% - Accent6 3 8" xfId="4550" xr:uid="{00000000-0005-0000-0000-000099030000}"/>
    <cellStyle name="20% - Accent6 3 8 2" xfId="12992" xr:uid="{8DE107A9-65D9-4EE2-B009-B89F88F38145}"/>
    <cellStyle name="20% - Accent6 3 9" xfId="8774" xr:uid="{F6825FDB-B9A4-47CE-8779-0ACE6ACBAACD}"/>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785E8B2B-CA8C-4E4B-8672-5E85C1060DCA}"/>
    <cellStyle name="20% - Accent6 4 2 2 3" xfId="11335" xr:uid="{E856D602-94DE-4853-BCDB-4F297DD867AC}"/>
    <cellStyle name="20% - Accent6 4 2 3" xfId="4966" xr:uid="{00000000-0005-0000-0000-00009E030000}"/>
    <cellStyle name="20% - Accent6 4 2 3 2" xfId="13408" xr:uid="{3D1CA80A-F4E9-4D4A-B428-0A33B1EE74E1}"/>
    <cellStyle name="20% - Accent6 4 2 4" xfId="9190" xr:uid="{B2B6C5AF-08EC-4C81-9A12-0194E44387B4}"/>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F9724F94-590D-43FC-92FE-3B937014338F}"/>
    <cellStyle name="20% - Accent6 4 3 2 3" xfId="11748" xr:uid="{A7295515-6F92-4BED-AC84-4CAC4A0C5C7F}"/>
    <cellStyle name="20% - Accent6 4 3 3" xfId="5379" xr:uid="{00000000-0005-0000-0000-0000A2030000}"/>
    <cellStyle name="20% - Accent6 4 3 3 2" xfId="13821" xr:uid="{87AD9892-0594-42FC-9B54-46742A327AD7}"/>
    <cellStyle name="20% - Accent6 4 3 4" xfId="9603" xr:uid="{F552318D-931C-4C37-A5CE-351711BAD6E8}"/>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E8013A2D-866A-4A3A-8B70-EC2863199EEB}"/>
    <cellStyle name="20% - Accent6 4 4 2 3" xfId="12161" xr:uid="{0BF3CB28-811F-49D8-909E-2BFE015B9D85}"/>
    <cellStyle name="20% - Accent6 4 4 3" xfId="5792" xr:uid="{00000000-0005-0000-0000-0000A6030000}"/>
    <cellStyle name="20% - Accent6 4 4 3 2" xfId="14234" xr:uid="{40527A6A-48FC-4261-BD30-9CDFB7109BBE}"/>
    <cellStyle name="20% - Accent6 4 4 4" xfId="10016" xr:uid="{C9EB5A2C-58F3-47FD-8028-947C8A76D2B3}"/>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333531DE-D273-4269-B3A4-8370A5BBF69F}"/>
    <cellStyle name="20% - Accent6 4 5 2 3" xfId="12574" xr:uid="{BA89D600-F8DA-45E0-A997-C6A4CEB9B20B}"/>
    <cellStyle name="20% - Accent6 4 5 3" xfId="6205" xr:uid="{00000000-0005-0000-0000-0000AA030000}"/>
    <cellStyle name="20% - Accent6 4 5 3 2" xfId="14647" xr:uid="{2F0EEAA2-10ED-483A-92E7-F949C6C0BAC9}"/>
    <cellStyle name="20% - Accent6 4 5 4" xfId="10429" xr:uid="{8FE54273-CDF4-4B44-8EC8-221CC62A40B9}"/>
    <cellStyle name="20% - Accent6 4 6" xfId="2311" xr:uid="{00000000-0005-0000-0000-0000AB030000}"/>
    <cellStyle name="20% - Accent6 4 6 2" xfId="6618" xr:uid="{00000000-0005-0000-0000-0000AC030000}"/>
    <cellStyle name="20% - Accent6 4 6 2 2" xfId="15060" xr:uid="{C8636DFC-F673-4676-8E7B-5E0FAF6C604E}"/>
    <cellStyle name="20% - Accent6 4 6 3" xfId="10842" xr:uid="{A92237A3-7F35-4571-8FC3-4B774BD8328E}"/>
    <cellStyle name="20% - Accent6 4 7" xfId="4552" xr:uid="{00000000-0005-0000-0000-0000AD030000}"/>
    <cellStyle name="20% - Accent6 4 7 2" xfId="12994" xr:uid="{3D82FECC-43C3-4D64-AA2E-F832100AEF48}"/>
    <cellStyle name="20% - Accent6 4 8" xfId="8776" xr:uid="{0CF6D5F9-D4B7-4B06-A4A3-2058B9DA9BCC}"/>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43AB7E56-52BD-4898-9E5E-4A7E194EB672}"/>
    <cellStyle name="20% - Accent6 5 2 3" xfId="11328" xr:uid="{5943BC8A-56B8-4541-807B-BD95504ABB9C}"/>
    <cellStyle name="20% - Accent6 5 3" xfId="4959" xr:uid="{00000000-0005-0000-0000-0000B1030000}"/>
    <cellStyle name="20% - Accent6 5 3 2" xfId="13401" xr:uid="{399E28EB-E8A4-4AC4-88B0-D6FC09421E17}"/>
    <cellStyle name="20% - Accent6 5 4" xfId="9183" xr:uid="{A11922E4-5474-47FC-9F4C-1B3A9554D7FA}"/>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678547E5-E423-4EBC-9CF4-92FC08C9BAB7}"/>
    <cellStyle name="20% - Accent6 6 2 3" xfId="11741" xr:uid="{A4B3C855-A62F-4FD3-A189-179976CBB91E}"/>
    <cellStyle name="20% - Accent6 6 3" xfId="5372" xr:uid="{00000000-0005-0000-0000-0000B5030000}"/>
    <cellStyle name="20% - Accent6 6 3 2" xfId="13814" xr:uid="{04159533-929D-4B3A-A3FC-EFB661FCBBB0}"/>
    <cellStyle name="20% - Accent6 6 4" xfId="9596" xr:uid="{786B7C44-758C-4F8D-B258-343BE3696F88}"/>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40727A13-7748-4AE7-8170-C185355C4BB9}"/>
    <cellStyle name="20% - Accent6 7 2 3" xfId="12154" xr:uid="{D97608FA-B084-4E02-8DAE-498A64FD933B}"/>
    <cellStyle name="20% - Accent6 7 3" xfId="5785" xr:uid="{00000000-0005-0000-0000-0000B9030000}"/>
    <cellStyle name="20% - Accent6 7 3 2" xfId="14227" xr:uid="{D1A9C1D3-4828-4262-8E46-325B55A95B4A}"/>
    <cellStyle name="20% - Accent6 7 4" xfId="10009" xr:uid="{6CBE6EB4-D01D-464C-8AFC-6355253CF411}"/>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FBF35E66-1E5B-4A11-B110-159CCCB1B6B5}"/>
    <cellStyle name="20% - Accent6 8 2 3" xfId="12567" xr:uid="{4BAFF71E-56D3-4FAA-A80E-9B6BC2075396}"/>
    <cellStyle name="20% - Accent6 8 3" xfId="6198" xr:uid="{00000000-0005-0000-0000-0000BD030000}"/>
    <cellStyle name="20% - Accent6 8 3 2" xfId="14640" xr:uid="{CA4F6CDB-55FF-460C-8104-FF118A11A0A2}"/>
    <cellStyle name="20% - Accent6 8 4" xfId="10422" xr:uid="{7168D6D8-74C7-432E-8630-0217FD275A14}"/>
    <cellStyle name="20% - Accent6 9" xfId="2304" xr:uid="{00000000-0005-0000-0000-0000BE030000}"/>
    <cellStyle name="20% - Accent6 9 2" xfId="6611" xr:uid="{00000000-0005-0000-0000-0000BF030000}"/>
    <cellStyle name="20% - Accent6 9 2 2" xfId="15053" xr:uid="{B14392F3-A7AF-40F7-B4E9-41302677782D}"/>
    <cellStyle name="20% - Accent6 9 3" xfId="10835" xr:uid="{CCB561F0-9C93-436B-A313-8631F1BCF83C}"/>
    <cellStyle name="40% - Accent1" xfId="49" builtinId="31" customBuiltin="1"/>
    <cellStyle name="40% - Accent1 10" xfId="4553" xr:uid="{00000000-0005-0000-0000-0000C1030000}"/>
    <cellStyle name="40% - Accent1 10 2" xfId="12995" xr:uid="{44510CAE-724D-4563-A89F-F20CEE4943EF}"/>
    <cellStyle name="40% - Accent1 11" xfId="8777" xr:uid="{FC21CC8F-4C4B-4827-BDC5-DEAC9B4A7FAB}"/>
    <cellStyle name="40% - Accent1 2" xfId="50" xr:uid="{00000000-0005-0000-0000-0000C2030000}"/>
    <cellStyle name="40% - Accent1 2 10" xfId="8778" xr:uid="{340FACCE-F049-49CC-AA79-28C3129A0A69}"/>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05616293-414E-4C37-9062-4400064C130D}"/>
    <cellStyle name="40% - Accent1 2 2 2 2 2 3" xfId="11339" xr:uid="{8103FDFA-2D11-41CB-B491-BCDB8245FD4F}"/>
    <cellStyle name="40% - Accent1 2 2 2 2 3" xfId="4970" xr:uid="{00000000-0005-0000-0000-0000C8030000}"/>
    <cellStyle name="40% - Accent1 2 2 2 2 3 2" xfId="13412" xr:uid="{402B6769-6798-4A94-985E-99DB19C22240}"/>
    <cellStyle name="40% - Accent1 2 2 2 2 4" xfId="9194" xr:uid="{CAB76C77-F028-4B0D-831C-5E992D735BDB}"/>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26A8B180-01BF-4247-B9C0-A96F520F2556}"/>
    <cellStyle name="40% - Accent1 2 2 2 3 2 3" xfId="11752" xr:uid="{9BE74DAE-1DA3-4060-B342-7C8496B8CEC4}"/>
    <cellStyle name="40% - Accent1 2 2 2 3 3" xfId="5383" xr:uid="{00000000-0005-0000-0000-0000CC030000}"/>
    <cellStyle name="40% - Accent1 2 2 2 3 3 2" xfId="13825" xr:uid="{1B557DFF-5592-40AB-9C6C-FFA1F2CD5CC7}"/>
    <cellStyle name="40% - Accent1 2 2 2 3 4" xfId="9607" xr:uid="{E1D28B90-CA5E-459E-904E-98D067FB444F}"/>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88B85FA5-129C-46AD-AD7E-EDD80B10CF5D}"/>
    <cellStyle name="40% - Accent1 2 2 2 4 2 3" xfId="12165" xr:uid="{9D90D65D-4FBA-4AEE-BFF4-AF60D108A439}"/>
    <cellStyle name="40% - Accent1 2 2 2 4 3" xfId="5796" xr:uid="{00000000-0005-0000-0000-0000D0030000}"/>
    <cellStyle name="40% - Accent1 2 2 2 4 3 2" xfId="14238" xr:uid="{94ED07BC-8E55-4559-8CF4-1E5E339B86E3}"/>
    <cellStyle name="40% - Accent1 2 2 2 4 4" xfId="10020" xr:uid="{0EC85A78-A92A-4578-AAB8-E3B98AC0DA16}"/>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75700BCE-BA46-40D7-9B09-4D651BB108AE}"/>
    <cellStyle name="40% - Accent1 2 2 2 5 2 3" xfId="12578" xr:uid="{01A4F51B-5B54-4C7E-8DA9-A997203D1982}"/>
    <cellStyle name="40% - Accent1 2 2 2 5 3" xfId="6209" xr:uid="{00000000-0005-0000-0000-0000D4030000}"/>
    <cellStyle name="40% - Accent1 2 2 2 5 3 2" xfId="14651" xr:uid="{73D7F976-C4D5-4D7A-8B1F-2716A4A69FEE}"/>
    <cellStyle name="40% - Accent1 2 2 2 5 4" xfId="10433" xr:uid="{645B4B0F-290D-4DF4-BB91-C1E8A6AF001A}"/>
    <cellStyle name="40% - Accent1 2 2 2 6" xfId="2315" xr:uid="{00000000-0005-0000-0000-0000D5030000}"/>
    <cellStyle name="40% - Accent1 2 2 2 6 2" xfId="6622" xr:uid="{00000000-0005-0000-0000-0000D6030000}"/>
    <cellStyle name="40% - Accent1 2 2 2 6 2 2" xfId="15064" xr:uid="{C46E9208-C598-41D3-97DD-41D0061FD136}"/>
    <cellStyle name="40% - Accent1 2 2 2 6 3" xfId="10846" xr:uid="{F7CF3427-D27A-4D11-9022-2DAC7ED4F30E}"/>
    <cellStyle name="40% - Accent1 2 2 2 7" xfId="4556" xr:uid="{00000000-0005-0000-0000-0000D7030000}"/>
    <cellStyle name="40% - Accent1 2 2 2 7 2" xfId="12998" xr:uid="{7B01D078-1E0E-46BF-A5FE-4E72063B167F}"/>
    <cellStyle name="40% - Accent1 2 2 2 8" xfId="8780" xr:uid="{3AD198FA-4C22-40A5-B096-164FB26A0605}"/>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C63FD200-C045-43F4-A42D-DA461CEC2FF3}"/>
    <cellStyle name="40% - Accent1 2 2 3 2 3" xfId="11338" xr:uid="{59CE909D-3051-4FCC-AD60-6226AC3FA56B}"/>
    <cellStyle name="40% - Accent1 2 2 3 3" xfId="4969" xr:uid="{00000000-0005-0000-0000-0000DB030000}"/>
    <cellStyle name="40% - Accent1 2 2 3 3 2" xfId="13411" xr:uid="{0D950A7F-7D15-46DD-AB7A-5DA239CA72A8}"/>
    <cellStyle name="40% - Accent1 2 2 3 4" xfId="9193" xr:uid="{A3C874DF-CE55-4C46-A49B-BBF68D26D36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A653C85E-9439-4EEA-8E6F-3BA697BFD58B}"/>
    <cellStyle name="40% - Accent1 2 2 4 2 3" xfId="11751" xr:uid="{80103F4C-2DB4-4CC4-A8A6-200726BBB7DC}"/>
    <cellStyle name="40% - Accent1 2 2 4 3" xfId="5382" xr:uid="{00000000-0005-0000-0000-0000DF030000}"/>
    <cellStyle name="40% - Accent1 2 2 4 3 2" xfId="13824" xr:uid="{B3103683-1276-44B9-9F01-3B0956A29380}"/>
    <cellStyle name="40% - Accent1 2 2 4 4" xfId="9606" xr:uid="{CB028979-B151-4FD1-A9B2-5ABE4A0539A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44EBB8E-278F-41BD-8376-11F2BA4EF154}"/>
    <cellStyle name="40% - Accent1 2 2 5 2 3" xfId="12164" xr:uid="{E2EDD39A-E548-4EB1-8DEC-BAD6F9D4FD26}"/>
    <cellStyle name="40% - Accent1 2 2 5 3" xfId="5795" xr:uid="{00000000-0005-0000-0000-0000E3030000}"/>
    <cellStyle name="40% - Accent1 2 2 5 3 2" xfId="14237" xr:uid="{5FB842EE-EDDF-45C8-BE2E-063377699303}"/>
    <cellStyle name="40% - Accent1 2 2 5 4" xfId="10019" xr:uid="{3FAB13FD-4CF1-4F4C-85B7-01378CF92E58}"/>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A68B89FB-02E1-4452-931F-83867621B531}"/>
    <cellStyle name="40% - Accent1 2 2 6 2 3" xfId="12577" xr:uid="{71BD0E3F-FD2F-4512-8C0E-0FD3AC187D7F}"/>
    <cellStyle name="40% - Accent1 2 2 6 3" xfId="6208" xr:uid="{00000000-0005-0000-0000-0000E7030000}"/>
    <cellStyle name="40% - Accent1 2 2 6 3 2" xfId="14650" xr:uid="{D272E6A7-984E-4D27-A2F2-9C9F7BD06F5F}"/>
    <cellStyle name="40% - Accent1 2 2 6 4" xfId="10432" xr:uid="{DCBD9491-BC71-4FD0-BFF7-D156835094D0}"/>
    <cellStyle name="40% - Accent1 2 2 7" xfId="2314" xr:uid="{00000000-0005-0000-0000-0000E8030000}"/>
    <cellStyle name="40% - Accent1 2 2 7 2" xfId="6621" xr:uid="{00000000-0005-0000-0000-0000E9030000}"/>
    <cellStyle name="40% - Accent1 2 2 7 2 2" xfId="15063" xr:uid="{AA09F391-3AE6-44A6-9E4D-05673410DFEE}"/>
    <cellStyle name="40% - Accent1 2 2 7 3" xfId="10845" xr:uid="{DD5110D2-B84F-4F8D-AB26-75823EC6BD8A}"/>
    <cellStyle name="40% - Accent1 2 2 8" xfId="4555" xr:uid="{00000000-0005-0000-0000-0000EA030000}"/>
    <cellStyle name="40% - Accent1 2 2 8 2" xfId="12997" xr:uid="{08B095FD-9B76-4FAE-9F75-69CF289EEB5F}"/>
    <cellStyle name="40% - Accent1 2 2 9" xfId="8779" xr:uid="{15A67BFA-DF83-428E-951C-F63386C60BF4}"/>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AA1DEFEA-8D45-482A-B3E3-7888C6432207}"/>
    <cellStyle name="40% - Accent1 2 3 2 2 3" xfId="11340" xr:uid="{48BAD437-4CC9-47AF-A438-6D40553714E5}"/>
    <cellStyle name="40% - Accent1 2 3 2 3" xfId="4971" xr:uid="{00000000-0005-0000-0000-0000EF030000}"/>
    <cellStyle name="40% - Accent1 2 3 2 3 2" xfId="13413" xr:uid="{43A7D390-4419-4EDE-BB48-CDBEE8BD5F59}"/>
    <cellStyle name="40% - Accent1 2 3 2 4" xfId="9195" xr:uid="{E7328C01-3C3B-4B85-AC60-A5212DACFB0E}"/>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1AF6A588-2701-41B3-93AA-9CD931F4A025}"/>
    <cellStyle name="40% - Accent1 2 3 3 2 3" xfId="11753" xr:uid="{A32F4CFF-43B1-4737-9089-47D138DD481E}"/>
    <cellStyle name="40% - Accent1 2 3 3 3" xfId="5384" xr:uid="{00000000-0005-0000-0000-0000F3030000}"/>
    <cellStyle name="40% - Accent1 2 3 3 3 2" xfId="13826" xr:uid="{26B337BF-F0FE-4601-9AE7-944005D2333C}"/>
    <cellStyle name="40% - Accent1 2 3 3 4" xfId="9608" xr:uid="{3C7BE8B6-62E7-4352-8729-2A594C513C52}"/>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7083CFFA-6FD2-46DC-868D-12AA3F0F4E3E}"/>
    <cellStyle name="40% - Accent1 2 3 4 2 3" xfId="12166" xr:uid="{BDDC550E-05F2-457F-8611-A13D61CF2CBE}"/>
    <cellStyle name="40% - Accent1 2 3 4 3" xfId="5797" xr:uid="{00000000-0005-0000-0000-0000F7030000}"/>
    <cellStyle name="40% - Accent1 2 3 4 3 2" xfId="14239" xr:uid="{FAF71D7A-AD6C-4702-8C70-1A0589E4F265}"/>
    <cellStyle name="40% - Accent1 2 3 4 4" xfId="10021" xr:uid="{C2670572-27B6-4E35-929F-61BFB8717D5B}"/>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DF7F844D-57CC-4771-9771-978D3425B82A}"/>
    <cellStyle name="40% - Accent1 2 3 5 2 3" xfId="12579" xr:uid="{DC4FE685-C91C-43AF-B1B3-88CBC99DF628}"/>
    <cellStyle name="40% - Accent1 2 3 5 3" xfId="6210" xr:uid="{00000000-0005-0000-0000-0000FB030000}"/>
    <cellStyle name="40% - Accent1 2 3 5 3 2" xfId="14652" xr:uid="{47646617-38F9-43D7-905B-51F4D2BEBD1D}"/>
    <cellStyle name="40% - Accent1 2 3 5 4" xfId="10434" xr:uid="{D0E1ABCF-F7C6-461E-808D-447F1B0E8D5F}"/>
    <cellStyle name="40% - Accent1 2 3 6" xfId="2316" xr:uid="{00000000-0005-0000-0000-0000FC030000}"/>
    <cellStyle name="40% - Accent1 2 3 6 2" xfId="6623" xr:uid="{00000000-0005-0000-0000-0000FD030000}"/>
    <cellStyle name="40% - Accent1 2 3 6 2 2" xfId="15065" xr:uid="{640CDB06-E101-4C59-9373-C941E3D20021}"/>
    <cellStyle name="40% - Accent1 2 3 6 3" xfId="10847" xr:uid="{652FFA9F-475A-4BED-BAFE-A69E206C5C85}"/>
    <cellStyle name="40% - Accent1 2 3 7" xfId="4557" xr:uid="{00000000-0005-0000-0000-0000FE030000}"/>
    <cellStyle name="40% - Accent1 2 3 7 2" xfId="12999" xr:uid="{B2A919EC-A949-47D0-8149-BD7870D722C2}"/>
    <cellStyle name="40% - Accent1 2 3 8" xfId="8781" xr:uid="{3F9E01DC-35A7-4D48-B1B4-0825D47853AF}"/>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483A80B8-0E8A-4FA8-B840-16809A3F6B32}"/>
    <cellStyle name="40% - Accent1 2 4 2 3" xfId="11337" xr:uid="{8E937C4A-2514-4DCA-83A7-05B61DB69F56}"/>
    <cellStyle name="40% - Accent1 2 4 3" xfId="4968" xr:uid="{00000000-0005-0000-0000-000002040000}"/>
    <cellStyle name="40% - Accent1 2 4 3 2" xfId="13410" xr:uid="{DEA3F4E1-1068-4128-890D-CD1DFAAE6618}"/>
    <cellStyle name="40% - Accent1 2 4 4" xfId="9192" xr:uid="{9298ECD0-BEDB-4A96-8DE8-EEFA501C9B19}"/>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975C0CF4-58E2-47A6-BB6B-D6B1A49ED625}"/>
    <cellStyle name="40% - Accent1 2 5 2 3" xfId="11750" xr:uid="{D05547F3-3854-4CE6-84E6-91BC473E04ED}"/>
    <cellStyle name="40% - Accent1 2 5 3" xfId="5381" xr:uid="{00000000-0005-0000-0000-000006040000}"/>
    <cellStyle name="40% - Accent1 2 5 3 2" xfId="13823" xr:uid="{C045CBF6-AA8B-4F98-B679-DF9EA5704F65}"/>
    <cellStyle name="40% - Accent1 2 5 4" xfId="9605" xr:uid="{A719657F-B44A-4A70-B72C-D90579F55185}"/>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65748236-4940-4180-ADA0-3AFD44FE2947}"/>
    <cellStyle name="40% - Accent1 2 6 2 3" xfId="12163" xr:uid="{1962A2AF-4195-46E7-BCE9-D7B764A15B89}"/>
    <cellStyle name="40% - Accent1 2 6 3" xfId="5794" xr:uid="{00000000-0005-0000-0000-00000A040000}"/>
    <cellStyle name="40% - Accent1 2 6 3 2" xfId="14236" xr:uid="{4EF847DA-85D1-4B9A-9D7C-B9C067533161}"/>
    <cellStyle name="40% - Accent1 2 6 4" xfId="10018" xr:uid="{02DEC42E-90B4-4FD4-A345-7BB31F159D46}"/>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BDE53E45-24FB-4A14-AFB9-156B2078C6F6}"/>
    <cellStyle name="40% - Accent1 2 7 2 3" xfId="12576" xr:uid="{D55376A1-C199-4E13-9611-AC8CB204EEBB}"/>
    <cellStyle name="40% - Accent1 2 7 3" xfId="6207" xr:uid="{00000000-0005-0000-0000-00000E040000}"/>
    <cellStyle name="40% - Accent1 2 7 3 2" xfId="14649" xr:uid="{768BBE3E-5F72-4608-84A6-E9032262BFA5}"/>
    <cellStyle name="40% - Accent1 2 7 4" xfId="10431" xr:uid="{B6E27585-FD94-4336-B6DC-F947055DA52E}"/>
    <cellStyle name="40% - Accent1 2 8" xfId="2313" xr:uid="{00000000-0005-0000-0000-00000F040000}"/>
    <cellStyle name="40% - Accent1 2 8 2" xfId="6620" xr:uid="{00000000-0005-0000-0000-000010040000}"/>
    <cellStyle name="40% - Accent1 2 8 2 2" xfId="15062" xr:uid="{DE602300-128A-42DA-966F-EA69AD9AD21A}"/>
    <cellStyle name="40% - Accent1 2 8 3" xfId="10844" xr:uid="{3E1A1655-8ACF-4BFC-86B8-186983945F6E}"/>
    <cellStyle name="40% - Accent1 2 9" xfId="4554" xr:uid="{00000000-0005-0000-0000-000011040000}"/>
    <cellStyle name="40% - Accent1 2 9 2" xfId="12996" xr:uid="{FB8EC4E3-A301-411B-9D2B-14C60C42E90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5F0448A6-AF97-4D14-9728-CB2F8F54EDDC}"/>
    <cellStyle name="40% - Accent1 3 2 2 2 3" xfId="11342" xr:uid="{D5AFDFC7-21ED-421B-98A4-5E9792C22D33}"/>
    <cellStyle name="40% - Accent1 3 2 2 3" xfId="4973" xr:uid="{00000000-0005-0000-0000-000017040000}"/>
    <cellStyle name="40% - Accent1 3 2 2 3 2" xfId="13415" xr:uid="{BE3ADA44-34FC-438F-B91F-60062335A707}"/>
    <cellStyle name="40% - Accent1 3 2 2 4" xfId="9197" xr:uid="{4D1412AA-BE7B-4915-BF01-B17F4E77A68C}"/>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EFF9570B-7531-4C7D-9A97-2009DC272F04}"/>
    <cellStyle name="40% - Accent1 3 2 3 2 3" xfId="11755" xr:uid="{A0D48735-F8ED-4D64-AFD3-9F806B9E0D3D}"/>
    <cellStyle name="40% - Accent1 3 2 3 3" xfId="5386" xr:uid="{00000000-0005-0000-0000-00001B040000}"/>
    <cellStyle name="40% - Accent1 3 2 3 3 2" xfId="13828" xr:uid="{51B2B141-DB77-4AD8-BA58-C9C93C0CEDD5}"/>
    <cellStyle name="40% - Accent1 3 2 3 4" xfId="9610" xr:uid="{81CBE121-38CA-424B-B4B5-D436FA606B90}"/>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CF0FCB40-3F87-4799-AD84-645FC181A2DD}"/>
    <cellStyle name="40% - Accent1 3 2 4 2 3" xfId="12168" xr:uid="{2C9004EA-129D-415C-BE63-509F2C616021}"/>
    <cellStyle name="40% - Accent1 3 2 4 3" xfId="5799" xr:uid="{00000000-0005-0000-0000-00001F040000}"/>
    <cellStyle name="40% - Accent1 3 2 4 3 2" xfId="14241" xr:uid="{B903FA39-BBDE-4496-8262-508DB272EFD1}"/>
    <cellStyle name="40% - Accent1 3 2 4 4" xfId="10023" xr:uid="{452AB713-50E3-4339-A5E6-BBD8EB36E90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631EA6D5-FCA5-4E78-BA05-459ECA27C705}"/>
    <cellStyle name="40% - Accent1 3 2 5 2 3" xfId="12581" xr:uid="{AA36E7BA-6B62-46EE-8A3C-89FA6A7D064C}"/>
    <cellStyle name="40% - Accent1 3 2 5 3" xfId="6212" xr:uid="{00000000-0005-0000-0000-000023040000}"/>
    <cellStyle name="40% - Accent1 3 2 5 3 2" xfId="14654" xr:uid="{D9E86B6E-A09A-4A6E-B3DC-EF9D9DAC3822}"/>
    <cellStyle name="40% - Accent1 3 2 5 4" xfId="10436" xr:uid="{721DB023-9668-474C-8E2E-EC59C8B47C3B}"/>
    <cellStyle name="40% - Accent1 3 2 6" xfId="2318" xr:uid="{00000000-0005-0000-0000-000024040000}"/>
    <cellStyle name="40% - Accent1 3 2 6 2" xfId="6625" xr:uid="{00000000-0005-0000-0000-000025040000}"/>
    <cellStyle name="40% - Accent1 3 2 6 2 2" xfId="15067" xr:uid="{A37B294B-1890-4BD7-8E5F-F68A7C7BDFB1}"/>
    <cellStyle name="40% - Accent1 3 2 6 3" xfId="10849" xr:uid="{2BF9BAC2-BA34-42E2-9C30-E04C94990370}"/>
    <cellStyle name="40% - Accent1 3 2 7" xfId="4559" xr:uid="{00000000-0005-0000-0000-000026040000}"/>
    <cellStyle name="40% - Accent1 3 2 7 2" xfId="13001" xr:uid="{D4594972-2C30-46D8-8AB1-63EEA47FD69C}"/>
    <cellStyle name="40% - Accent1 3 2 8" xfId="8783" xr:uid="{B3B6EDDE-568D-4125-82B9-865DCEB9DF5B}"/>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754BA152-3500-4F58-98E4-759682FD0133}"/>
    <cellStyle name="40% - Accent1 3 3 2 3" xfId="11341" xr:uid="{F54D7F45-C4C3-460B-A94C-0F6A8F6BE6B2}"/>
    <cellStyle name="40% - Accent1 3 3 3" xfId="4972" xr:uid="{00000000-0005-0000-0000-00002A040000}"/>
    <cellStyle name="40% - Accent1 3 3 3 2" xfId="13414" xr:uid="{1E57C328-9954-405A-8912-1DB49917F830}"/>
    <cellStyle name="40% - Accent1 3 3 4" xfId="9196" xr:uid="{18547EF5-3C0F-42AE-B59E-8D9CA6D3C35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A135C198-4863-44E7-85B1-F9F1C10E3DDF}"/>
    <cellStyle name="40% - Accent1 3 4 2 3" xfId="11754" xr:uid="{228C0052-58B6-495A-938F-9E368B9FA1BC}"/>
    <cellStyle name="40% - Accent1 3 4 3" xfId="5385" xr:uid="{00000000-0005-0000-0000-00002E040000}"/>
    <cellStyle name="40% - Accent1 3 4 3 2" xfId="13827" xr:uid="{D0FD6E5A-FF05-43BC-9E0B-80A6FD5652A4}"/>
    <cellStyle name="40% - Accent1 3 4 4" xfId="9609" xr:uid="{BC0B1D0C-064D-4D3D-8744-33BF70D34E7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66A6F26C-C153-4CB1-AC12-1B38B3CD0577}"/>
    <cellStyle name="40% - Accent1 3 5 2 3" xfId="12167" xr:uid="{0E08E54B-0E47-40C7-8F1A-89BCB773EEA6}"/>
    <cellStyle name="40% - Accent1 3 5 3" xfId="5798" xr:uid="{00000000-0005-0000-0000-000032040000}"/>
    <cellStyle name="40% - Accent1 3 5 3 2" xfId="14240" xr:uid="{DD0555C3-38F6-4C4A-ABDE-DBF22FEEFF08}"/>
    <cellStyle name="40% - Accent1 3 5 4" xfId="10022" xr:uid="{4E58EC13-8C7D-4EBF-A144-12222202E428}"/>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06F5D791-4244-441B-B97C-51E8B19E6D58}"/>
    <cellStyle name="40% - Accent1 3 6 2 3" xfId="12580" xr:uid="{5AABA8FA-1EDC-485B-9265-8781ED365432}"/>
    <cellStyle name="40% - Accent1 3 6 3" xfId="6211" xr:uid="{00000000-0005-0000-0000-000036040000}"/>
    <cellStyle name="40% - Accent1 3 6 3 2" xfId="14653" xr:uid="{789B20C4-6ED0-410B-A299-D26D82BEB2F2}"/>
    <cellStyle name="40% - Accent1 3 6 4" xfId="10435" xr:uid="{AA537DFC-CCDE-4314-AEAE-1587EA566AA1}"/>
    <cellStyle name="40% - Accent1 3 7" xfId="2317" xr:uid="{00000000-0005-0000-0000-000037040000}"/>
    <cellStyle name="40% - Accent1 3 7 2" xfId="6624" xr:uid="{00000000-0005-0000-0000-000038040000}"/>
    <cellStyle name="40% - Accent1 3 7 2 2" xfId="15066" xr:uid="{81087469-7009-4A20-AFEE-BE2052CCB790}"/>
    <cellStyle name="40% - Accent1 3 7 3" xfId="10848" xr:uid="{C1163E79-3E4E-4B3F-8E72-BE4D473D7F2D}"/>
    <cellStyle name="40% - Accent1 3 8" xfId="4558" xr:uid="{00000000-0005-0000-0000-000039040000}"/>
    <cellStyle name="40% - Accent1 3 8 2" xfId="13000" xr:uid="{C72F2401-5FB3-4C66-AC1C-59E60F03AADF}"/>
    <cellStyle name="40% - Accent1 3 9" xfId="8782" xr:uid="{B9840BD5-8714-43A5-B6C8-EB60EFE8B5F9}"/>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4EA66C5D-2DCD-4A10-ADA4-57811C25281C}"/>
    <cellStyle name="40% - Accent1 4 2 2 3" xfId="11343" xr:uid="{BBC6B407-2A1E-4B6F-9E5D-B466974FBB69}"/>
    <cellStyle name="40% - Accent1 4 2 3" xfId="4974" xr:uid="{00000000-0005-0000-0000-00003E040000}"/>
    <cellStyle name="40% - Accent1 4 2 3 2" xfId="13416" xr:uid="{83FC54DB-78EA-4841-9D32-1B4B127E7E8A}"/>
    <cellStyle name="40% - Accent1 4 2 4" xfId="9198" xr:uid="{1787997E-6EF9-4F42-A667-2F0DDC18FCD6}"/>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51B1047B-2446-4021-BF9F-D91A70B6EF36}"/>
    <cellStyle name="40% - Accent1 4 3 2 3" xfId="11756" xr:uid="{551A7358-3A9D-4A64-8A41-90E03BCFFD34}"/>
    <cellStyle name="40% - Accent1 4 3 3" xfId="5387" xr:uid="{00000000-0005-0000-0000-000042040000}"/>
    <cellStyle name="40% - Accent1 4 3 3 2" xfId="13829" xr:uid="{107B874F-D93A-409C-BDE4-6592273CB01C}"/>
    <cellStyle name="40% - Accent1 4 3 4" xfId="9611" xr:uid="{446680E0-8D23-4F4F-B34A-54928A358439}"/>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851396E7-9D64-46B6-AE0C-D06D1199BBD9}"/>
    <cellStyle name="40% - Accent1 4 4 2 3" xfId="12169" xr:uid="{49DE235A-0901-4592-A082-59308D125C9C}"/>
    <cellStyle name="40% - Accent1 4 4 3" xfId="5800" xr:uid="{00000000-0005-0000-0000-000046040000}"/>
    <cellStyle name="40% - Accent1 4 4 3 2" xfId="14242" xr:uid="{08C29706-4866-450E-9ABC-E474077988D3}"/>
    <cellStyle name="40% - Accent1 4 4 4" xfId="10024" xr:uid="{74B26622-20C9-4DB2-9938-9DEA125C7042}"/>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53219F1-74E2-415D-979C-0911119FE0CE}"/>
    <cellStyle name="40% - Accent1 4 5 2 3" xfId="12582" xr:uid="{F6BF554D-7758-4B79-BF65-FEAE93104155}"/>
    <cellStyle name="40% - Accent1 4 5 3" xfId="6213" xr:uid="{00000000-0005-0000-0000-00004A040000}"/>
    <cellStyle name="40% - Accent1 4 5 3 2" xfId="14655" xr:uid="{24A43272-B56B-42F2-91A2-6294F14796A9}"/>
    <cellStyle name="40% - Accent1 4 5 4" xfId="10437" xr:uid="{25A77906-354F-4843-8C22-1BEE4AE218D4}"/>
    <cellStyle name="40% - Accent1 4 6" xfId="2319" xr:uid="{00000000-0005-0000-0000-00004B040000}"/>
    <cellStyle name="40% - Accent1 4 6 2" xfId="6626" xr:uid="{00000000-0005-0000-0000-00004C040000}"/>
    <cellStyle name="40% - Accent1 4 6 2 2" xfId="15068" xr:uid="{83E55838-789B-43A0-9D75-71469A18848C}"/>
    <cellStyle name="40% - Accent1 4 6 3" xfId="10850" xr:uid="{FF7E6481-13AE-42AD-8DB2-CCA46125303C}"/>
    <cellStyle name="40% - Accent1 4 7" xfId="4560" xr:uid="{00000000-0005-0000-0000-00004D040000}"/>
    <cellStyle name="40% - Accent1 4 7 2" xfId="13002" xr:uid="{590241F1-EA6A-4D2C-A6FF-FD16AE719684}"/>
    <cellStyle name="40% - Accent1 4 8" xfId="8784" xr:uid="{F609D16D-7A86-4C49-A05B-453AC578E28B}"/>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39F152A1-AFA7-4ACA-8E05-148220115657}"/>
    <cellStyle name="40% - Accent1 5 2 3" xfId="11336" xr:uid="{2369EDD4-AB5A-4D90-AE6A-F5306E582894}"/>
    <cellStyle name="40% - Accent1 5 3" xfId="4967" xr:uid="{00000000-0005-0000-0000-000051040000}"/>
    <cellStyle name="40% - Accent1 5 3 2" xfId="13409" xr:uid="{ECB27F43-8744-4E7C-9230-4BD82BFC33F0}"/>
    <cellStyle name="40% - Accent1 5 4" xfId="9191" xr:uid="{BAC0DFC2-7033-4A23-9F14-BE0C9683C3A4}"/>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688BD418-4D45-4B12-B081-F86AC47A1FE7}"/>
    <cellStyle name="40% - Accent1 6 2 3" xfId="11749" xr:uid="{EFFAA03D-A2AB-42DD-BD5C-8BEAF0335457}"/>
    <cellStyle name="40% - Accent1 6 3" xfId="5380" xr:uid="{00000000-0005-0000-0000-000055040000}"/>
    <cellStyle name="40% - Accent1 6 3 2" xfId="13822" xr:uid="{97524CF8-B16D-4460-B194-4B9DDA235837}"/>
    <cellStyle name="40% - Accent1 6 4" xfId="9604" xr:uid="{A8EA8DE0-3EFA-4D84-AA90-38ADD921178A}"/>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A5DC492-2F0D-4D6A-BFFC-EBD86FC6FC92}"/>
    <cellStyle name="40% - Accent1 7 2 3" xfId="12162" xr:uid="{B421244B-2E5F-451B-B284-D0B614489E2F}"/>
    <cellStyle name="40% - Accent1 7 3" xfId="5793" xr:uid="{00000000-0005-0000-0000-000059040000}"/>
    <cellStyle name="40% - Accent1 7 3 2" xfId="14235" xr:uid="{3BE8D1A9-37FE-48B9-9544-BF50870A5D5E}"/>
    <cellStyle name="40% - Accent1 7 4" xfId="10017" xr:uid="{BE13A193-7210-41DC-AD2C-7A1D1ED336A1}"/>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6ADD79C6-DEFC-402D-ACD7-8CC8D8EB0A63}"/>
    <cellStyle name="40% - Accent1 8 2 3" xfId="12575" xr:uid="{03AC76E7-1740-4E7C-8104-3BD4935240A8}"/>
    <cellStyle name="40% - Accent1 8 3" xfId="6206" xr:uid="{00000000-0005-0000-0000-00005D040000}"/>
    <cellStyle name="40% - Accent1 8 3 2" xfId="14648" xr:uid="{6409CC32-F7E7-48F1-B246-AAD932EA97B5}"/>
    <cellStyle name="40% - Accent1 8 4" xfId="10430" xr:uid="{6919C8BF-E4FD-40F4-80C4-5ED223BE224A}"/>
    <cellStyle name="40% - Accent1 9" xfId="2312" xr:uid="{00000000-0005-0000-0000-00005E040000}"/>
    <cellStyle name="40% - Accent1 9 2" xfId="6619" xr:uid="{00000000-0005-0000-0000-00005F040000}"/>
    <cellStyle name="40% - Accent1 9 2 2" xfId="15061" xr:uid="{2F267E3B-F0FC-4F21-B570-1A1EEB347FA6}"/>
    <cellStyle name="40% - Accent1 9 3" xfId="10843" xr:uid="{02584120-DFA1-4606-8015-7A89E024444C}"/>
    <cellStyle name="40% - Accent2" xfId="57" builtinId="35" customBuiltin="1"/>
    <cellStyle name="40% - Accent2 10" xfId="4561" xr:uid="{00000000-0005-0000-0000-000061040000}"/>
    <cellStyle name="40% - Accent2 10 2" xfId="13003" xr:uid="{39E35AE7-E10C-48B7-BC0B-582DAFF099C9}"/>
    <cellStyle name="40% - Accent2 11" xfId="8785" xr:uid="{513A2757-478A-4AAE-B1FC-50914B9A910B}"/>
    <cellStyle name="40% - Accent2 2" xfId="58" xr:uid="{00000000-0005-0000-0000-000062040000}"/>
    <cellStyle name="40% - Accent2 2 10" xfId="8786" xr:uid="{4BD1C87C-B58E-4257-8552-566FEAA27C8E}"/>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27D5DEEB-E8B9-4D89-A8CE-D9753C81FF7A}"/>
    <cellStyle name="40% - Accent2 2 2 2 2 2 3" xfId="11347" xr:uid="{9EE35AF5-6362-4195-862D-FF5C68A6AA15}"/>
    <cellStyle name="40% - Accent2 2 2 2 2 3" xfId="4978" xr:uid="{00000000-0005-0000-0000-000068040000}"/>
    <cellStyle name="40% - Accent2 2 2 2 2 3 2" xfId="13420" xr:uid="{4F264C5D-321F-489C-8998-AA5D50ABDE5F}"/>
    <cellStyle name="40% - Accent2 2 2 2 2 4" xfId="9202" xr:uid="{884D58FE-205A-4E2C-BAEF-4B5D44C44D5C}"/>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F28226BF-080C-4444-9FA9-589440F54DE8}"/>
    <cellStyle name="40% - Accent2 2 2 2 3 2 3" xfId="11760" xr:uid="{356A37A7-0813-42D7-A475-7E2601F2C2A3}"/>
    <cellStyle name="40% - Accent2 2 2 2 3 3" xfId="5391" xr:uid="{00000000-0005-0000-0000-00006C040000}"/>
    <cellStyle name="40% - Accent2 2 2 2 3 3 2" xfId="13833" xr:uid="{4C1C98D5-6CCC-4CA0-868E-46190A3F7153}"/>
    <cellStyle name="40% - Accent2 2 2 2 3 4" xfId="9615" xr:uid="{1EEDF058-EB45-4A0C-9B9E-E95FAE3E43B2}"/>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6BF5A724-987C-4696-8846-9FC6B6279FFE}"/>
    <cellStyle name="40% - Accent2 2 2 2 4 2 3" xfId="12173" xr:uid="{A75CBE20-61F6-4A51-B53D-6ECD81DED050}"/>
    <cellStyle name="40% - Accent2 2 2 2 4 3" xfId="5804" xr:uid="{00000000-0005-0000-0000-000070040000}"/>
    <cellStyle name="40% - Accent2 2 2 2 4 3 2" xfId="14246" xr:uid="{9F3C957C-2830-4541-8A6C-D0A816962EAE}"/>
    <cellStyle name="40% - Accent2 2 2 2 4 4" xfId="10028" xr:uid="{1FF856EC-1246-4415-A349-7DF06907A6E7}"/>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6123DD36-E556-4714-AE1C-4A5A3799357B}"/>
    <cellStyle name="40% - Accent2 2 2 2 5 2 3" xfId="12586" xr:uid="{29D24FE2-4A96-4367-ABC5-100964BC81BD}"/>
    <cellStyle name="40% - Accent2 2 2 2 5 3" xfId="6217" xr:uid="{00000000-0005-0000-0000-000074040000}"/>
    <cellStyle name="40% - Accent2 2 2 2 5 3 2" xfId="14659" xr:uid="{4A49273D-0785-459B-A1B7-38CA81523532}"/>
    <cellStyle name="40% - Accent2 2 2 2 5 4" xfId="10441" xr:uid="{D00EE570-AEF0-4ABA-A3F0-B43D12204935}"/>
    <cellStyle name="40% - Accent2 2 2 2 6" xfId="2323" xr:uid="{00000000-0005-0000-0000-000075040000}"/>
    <cellStyle name="40% - Accent2 2 2 2 6 2" xfId="6630" xr:uid="{00000000-0005-0000-0000-000076040000}"/>
    <cellStyle name="40% - Accent2 2 2 2 6 2 2" xfId="15072" xr:uid="{53137DAB-01E7-41EA-B7A5-A54B584311EA}"/>
    <cellStyle name="40% - Accent2 2 2 2 6 3" xfId="10854" xr:uid="{3CB6C733-7F8B-4CC7-A653-28C6FC98CC35}"/>
    <cellStyle name="40% - Accent2 2 2 2 7" xfId="4564" xr:uid="{00000000-0005-0000-0000-000077040000}"/>
    <cellStyle name="40% - Accent2 2 2 2 7 2" xfId="13006" xr:uid="{FDE101EE-30E1-4662-A09A-46FEE39AA00D}"/>
    <cellStyle name="40% - Accent2 2 2 2 8" xfId="8788" xr:uid="{68C49988-E54C-4753-88D7-4A7DF2CC4039}"/>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7DA0E011-2814-4036-9BD6-63B6331DC120}"/>
    <cellStyle name="40% - Accent2 2 2 3 2 3" xfId="11346" xr:uid="{A725D690-67BB-4662-9645-FE16767D4515}"/>
    <cellStyle name="40% - Accent2 2 2 3 3" xfId="4977" xr:uid="{00000000-0005-0000-0000-00007B040000}"/>
    <cellStyle name="40% - Accent2 2 2 3 3 2" xfId="13419" xr:uid="{0B039E16-0457-4C5D-8F69-B2C16BC06781}"/>
    <cellStyle name="40% - Accent2 2 2 3 4" xfId="9201" xr:uid="{91CED075-F52B-4526-96CE-EB833F6F8217}"/>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F6D612DD-B8D5-4D5B-9ED9-8729A3FD631B}"/>
    <cellStyle name="40% - Accent2 2 2 4 2 3" xfId="11759" xr:uid="{A131DF13-DA69-4B39-BA60-FBBE4158E922}"/>
    <cellStyle name="40% - Accent2 2 2 4 3" xfId="5390" xr:uid="{00000000-0005-0000-0000-00007F040000}"/>
    <cellStyle name="40% - Accent2 2 2 4 3 2" xfId="13832" xr:uid="{4F7C2727-C522-489A-8FA0-B246D5C17223}"/>
    <cellStyle name="40% - Accent2 2 2 4 4" xfId="9614" xr:uid="{D041514C-8CB7-44C1-9CE6-233391E916C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0DB2C552-3064-469C-9A27-10C25AD8EEF6}"/>
    <cellStyle name="40% - Accent2 2 2 5 2 3" xfId="12172" xr:uid="{407C11C9-4FF7-4D32-BAA7-595D3B9A9803}"/>
    <cellStyle name="40% - Accent2 2 2 5 3" xfId="5803" xr:uid="{00000000-0005-0000-0000-000083040000}"/>
    <cellStyle name="40% - Accent2 2 2 5 3 2" xfId="14245" xr:uid="{37AF7336-5C9B-475A-ADD9-917E0E130264}"/>
    <cellStyle name="40% - Accent2 2 2 5 4" xfId="10027" xr:uid="{C17FD34A-6634-46E9-B43F-DA9E14DE7769}"/>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2EB03B78-D0B0-4793-A0B2-750ACE00D899}"/>
    <cellStyle name="40% - Accent2 2 2 6 2 3" xfId="12585" xr:uid="{D5220128-41C9-47B1-B8CE-E872820087F8}"/>
    <cellStyle name="40% - Accent2 2 2 6 3" xfId="6216" xr:uid="{00000000-0005-0000-0000-000087040000}"/>
    <cellStyle name="40% - Accent2 2 2 6 3 2" xfId="14658" xr:uid="{BC20542A-7BE2-4176-A0F7-637238FBDA37}"/>
    <cellStyle name="40% - Accent2 2 2 6 4" xfId="10440" xr:uid="{452FA398-F929-4875-BC8E-FC2C047FFB66}"/>
    <cellStyle name="40% - Accent2 2 2 7" xfId="2322" xr:uid="{00000000-0005-0000-0000-000088040000}"/>
    <cellStyle name="40% - Accent2 2 2 7 2" xfId="6629" xr:uid="{00000000-0005-0000-0000-000089040000}"/>
    <cellStyle name="40% - Accent2 2 2 7 2 2" xfId="15071" xr:uid="{44C44311-CDAA-4D1F-A6BB-56832EF9E0AC}"/>
    <cellStyle name="40% - Accent2 2 2 7 3" xfId="10853" xr:uid="{0CB5A12B-576D-497B-80A5-487CD015BD7F}"/>
    <cellStyle name="40% - Accent2 2 2 8" xfId="4563" xr:uid="{00000000-0005-0000-0000-00008A040000}"/>
    <cellStyle name="40% - Accent2 2 2 8 2" xfId="13005" xr:uid="{E211AACE-A7A4-4DF2-8FB2-D16D170FEF9F}"/>
    <cellStyle name="40% - Accent2 2 2 9" xfId="8787" xr:uid="{9F164BFD-EDEC-40DF-88E8-F7C5802A8BA7}"/>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1226772F-13B2-457B-864C-DC6907EB9794}"/>
    <cellStyle name="40% - Accent2 2 3 2 2 3" xfId="11348" xr:uid="{1476E4EA-3446-4116-A546-EFB27E4DB149}"/>
    <cellStyle name="40% - Accent2 2 3 2 3" xfId="4979" xr:uid="{00000000-0005-0000-0000-00008F040000}"/>
    <cellStyle name="40% - Accent2 2 3 2 3 2" xfId="13421" xr:uid="{2C810B43-BB90-434E-9A1F-A75C49944CBB}"/>
    <cellStyle name="40% - Accent2 2 3 2 4" xfId="9203" xr:uid="{A033AB1E-D39A-4A99-B3BB-727D3715CCA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D4B0BD44-51E8-46E7-B08E-4D94F78A2C6D}"/>
    <cellStyle name="40% - Accent2 2 3 3 2 3" xfId="11761" xr:uid="{1BDA8ED2-5723-463A-BB44-814608B5F756}"/>
    <cellStyle name="40% - Accent2 2 3 3 3" xfId="5392" xr:uid="{00000000-0005-0000-0000-000093040000}"/>
    <cellStyle name="40% - Accent2 2 3 3 3 2" xfId="13834" xr:uid="{24701B23-6D66-4676-A641-D80F60944EBC}"/>
    <cellStyle name="40% - Accent2 2 3 3 4" xfId="9616" xr:uid="{EF477037-B3D2-4A4C-8771-FBD640028772}"/>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BA9ABF7B-F8E7-4487-842D-CEBE441CDDB6}"/>
    <cellStyle name="40% - Accent2 2 3 4 2 3" xfId="12174" xr:uid="{CB887E28-FFA4-42F3-8304-5B52071F0D8F}"/>
    <cellStyle name="40% - Accent2 2 3 4 3" xfId="5805" xr:uid="{00000000-0005-0000-0000-000097040000}"/>
    <cellStyle name="40% - Accent2 2 3 4 3 2" xfId="14247" xr:uid="{61BDCAD5-2922-46A6-8272-1DD3C016C0A6}"/>
    <cellStyle name="40% - Accent2 2 3 4 4" xfId="10029" xr:uid="{446D3F29-C1F0-47D9-85F1-F79F8C1EEDA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DA76B9F2-5060-42D3-A431-2237D6D27BC1}"/>
    <cellStyle name="40% - Accent2 2 3 5 2 3" xfId="12587" xr:uid="{215DD7A3-B522-4A01-802A-2AD5216ADCFA}"/>
    <cellStyle name="40% - Accent2 2 3 5 3" xfId="6218" xr:uid="{00000000-0005-0000-0000-00009B040000}"/>
    <cellStyle name="40% - Accent2 2 3 5 3 2" xfId="14660" xr:uid="{7479263F-7C36-43B8-BCDA-807625767523}"/>
    <cellStyle name="40% - Accent2 2 3 5 4" xfId="10442" xr:uid="{8F8A4EFB-2B1D-43B7-8C54-99E6BC95FF92}"/>
    <cellStyle name="40% - Accent2 2 3 6" xfId="2324" xr:uid="{00000000-0005-0000-0000-00009C040000}"/>
    <cellStyle name="40% - Accent2 2 3 6 2" xfId="6631" xr:uid="{00000000-0005-0000-0000-00009D040000}"/>
    <cellStyle name="40% - Accent2 2 3 6 2 2" xfId="15073" xr:uid="{98DAC233-661D-46A0-A63A-0D97EFF70450}"/>
    <cellStyle name="40% - Accent2 2 3 6 3" xfId="10855" xr:uid="{B2232C3F-1848-4F70-B266-5B44DD207EDC}"/>
    <cellStyle name="40% - Accent2 2 3 7" xfId="4565" xr:uid="{00000000-0005-0000-0000-00009E040000}"/>
    <cellStyle name="40% - Accent2 2 3 7 2" xfId="13007" xr:uid="{CF5B97F2-DBB4-4623-ABF7-EF650984815D}"/>
    <cellStyle name="40% - Accent2 2 3 8" xfId="8789" xr:uid="{B09137B9-7FE8-4E67-9E71-1319E7E93BB1}"/>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41DE868F-7837-4369-8D69-FEF737AA66D1}"/>
    <cellStyle name="40% - Accent2 2 4 2 3" xfId="11345" xr:uid="{BB9C36AA-D2E0-4F18-8801-52574D5FC224}"/>
    <cellStyle name="40% - Accent2 2 4 3" xfId="4976" xr:uid="{00000000-0005-0000-0000-0000A2040000}"/>
    <cellStyle name="40% - Accent2 2 4 3 2" xfId="13418" xr:uid="{C8F2D7E7-CDF8-4403-9968-A8119828A84D}"/>
    <cellStyle name="40% - Accent2 2 4 4" xfId="9200" xr:uid="{B032C3C1-8C79-4595-9B70-E4AAB13E3E1E}"/>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02261054-1C42-4BB7-9862-A55BFA76155A}"/>
    <cellStyle name="40% - Accent2 2 5 2 3" xfId="11758" xr:uid="{E50371C3-1A15-4C23-A2F1-EBE9EB8E3119}"/>
    <cellStyle name="40% - Accent2 2 5 3" xfId="5389" xr:uid="{00000000-0005-0000-0000-0000A6040000}"/>
    <cellStyle name="40% - Accent2 2 5 3 2" xfId="13831" xr:uid="{C12CF6C4-BD7F-4551-AAD6-EAE627337AB2}"/>
    <cellStyle name="40% - Accent2 2 5 4" xfId="9613" xr:uid="{64BE35CE-464D-42CE-BF73-7E03904D5829}"/>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7DD8C1BF-1221-4B3E-8317-F22EF8BE72C0}"/>
    <cellStyle name="40% - Accent2 2 6 2 3" xfId="12171" xr:uid="{C28BAFC0-4353-4270-876B-99109C46C1B4}"/>
    <cellStyle name="40% - Accent2 2 6 3" xfId="5802" xr:uid="{00000000-0005-0000-0000-0000AA040000}"/>
    <cellStyle name="40% - Accent2 2 6 3 2" xfId="14244" xr:uid="{2031E8AC-2783-40A8-B83A-A1001E80F03D}"/>
    <cellStyle name="40% - Accent2 2 6 4" xfId="10026" xr:uid="{E83F24E2-B751-4993-AC37-6BD23688A106}"/>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8417B571-DAFC-4113-8E3E-719540F24C80}"/>
    <cellStyle name="40% - Accent2 2 7 2 3" xfId="12584" xr:uid="{19D07A16-0A5B-4A45-A0FB-4BD0C00313FC}"/>
    <cellStyle name="40% - Accent2 2 7 3" xfId="6215" xr:uid="{00000000-0005-0000-0000-0000AE040000}"/>
    <cellStyle name="40% - Accent2 2 7 3 2" xfId="14657" xr:uid="{02B4BF7B-BD41-43B3-8B6B-346E567EE628}"/>
    <cellStyle name="40% - Accent2 2 7 4" xfId="10439" xr:uid="{AE9A80FD-A5DB-4FCF-8DF1-4E5A8C08CA49}"/>
    <cellStyle name="40% - Accent2 2 8" xfId="2321" xr:uid="{00000000-0005-0000-0000-0000AF040000}"/>
    <cellStyle name="40% - Accent2 2 8 2" xfId="6628" xr:uid="{00000000-0005-0000-0000-0000B0040000}"/>
    <cellStyle name="40% - Accent2 2 8 2 2" xfId="15070" xr:uid="{0D1DD0E1-DF8D-4F57-9B62-9814CEBF47CD}"/>
    <cellStyle name="40% - Accent2 2 8 3" xfId="10852" xr:uid="{AB6E38EB-9004-4DFA-BD04-850A262C2268}"/>
    <cellStyle name="40% - Accent2 2 9" xfId="4562" xr:uid="{00000000-0005-0000-0000-0000B1040000}"/>
    <cellStyle name="40% - Accent2 2 9 2" xfId="13004" xr:uid="{5B2CC467-13DA-4542-9DBD-55583EDCEF2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1DC713B5-A052-46C1-B6D9-B71351EA44AB}"/>
    <cellStyle name="40% - Accent2 3 2 2 2 3" xfId="11350" xr:uid="{78DC48BC-012B-4068-B517-E02BFBEB1267}"/>
    <cellStyle name="40% - Accent2 3 2 2 3" xfId="4981" xr:uid="{00000000-0005-0000-0000-0000B7040000}"/>
    <cellStyle name="40% - Accent2 3 2 2 3 2" xfId="13423" xr:uid="{AEEA2C42-793A-4ADA-862A-8185B8C8D119}"/>
    <cellStyle name="40% - Accent2 3 2 2 4" xfId="9205" xr:uid="{3506FD34-E467-4C4C-A6CE-A48BE8620C5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3FE618B4-2F44-40B7-9C3C-3A0E9CC5A2D7}"/>
    <cellStyle name="40% - Accent2 3 2 3 2 3" xfId="11763" xr:uid="{7121550D-4E80-4034-8F24-667A4E825A67}"/>
    <cellStyle name="40% - Accent2 3 2 3 3" xfId="5394" xr:uid="{00000000-0005-0000-0000-0000BB040000}"/>
    <cellStyle name="40% - Accent2 3 2 3 3 2" xfId="13836" xr:uid="{8C07169F-F81A-41E7-A067-5F0D71A7D693}"/>
    <cellStyle name="40% - Accent2 3 2 3 4" xfId="9618" xr:uid="{B18C1247-514E-4698-B431-60CF5EF7065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731708E9-7F9A-416F-BBBB-EEDEC089A4A6}"/>
    <cellStyle name="40% - Accent2 3 2 4 2 3" xfId="12176" xr:uid="{3CF128C6-4E43-4F4A-BD3E-95C5100EA056}"/>
    <cellStyle name="40% - Accent2 3 2 4 3" xfId="5807" xr:uid="{00000000-0005-0000-0000-0000BF040000}"/>
    <cellStyle name="40% - Accent2 3 2 4 3 2" xfId="14249" xr:uid="{DBEFB246-DDE5-4F6B-90A3-41C29EF4004C}"/>
    <cellStyle name="40% - Accent2 3 2 4 4" xfId="10031" xr:uid="{1001D0EA-E1DB-4A17-A981-99EC8A577D62}"/>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F7DDAC63-6B29-4134-A9AE-BA8EF44C6AE0}"/>
    <cellStyle name="40% - Accent2 3 2 5 2 3" xfId="12589" xr:uid="{701E18E3-BE8D-48CE-B261-36DC84644754}"/>
    <cellStyle name="40% - Accent2 3 2 5 3" xfId="6220" xr:uid="{00000000-0005-0000-0000-0000C3040000}"/>
    <cellStyle name="40% - Accent2 3 2 5 3 2" xfId="14662" xr:uid="{FFFD9E02-15A9-4457-9223-072458F0F0FD}"/>
    <cellStyle name="40% - Accent2 3 2 5 4" xfId="10444" xr:uid="{2506EE80-07AA-49A0-94E2-C960689B1B1C}"/>
    <cellStyle name="40% - Accent2 3 2 6" xfId="2326" xr:uid="{00000000-0005-0000-0000-0000C4040000}"/>
    <cellStyle name="40% - Accent2 3 2 6 2" xfId="6633" xr:uid="{00000000-0005-0000-0000-0000C5040000}"/>
    <cellStyle name="40% - Accent2 3 2 6 2 2" xfId="15075" xr:uid="{9D1AA95B-3C6D-45E3-B7C8-4BA1EC3325A8}"/>
    <cellStyle name="40% - Accent2 3 2 6 3" xfId="10857" xr:uid="{1C481D95-E272-4D3D-9EA7-AF0756081D8A}"/>
    <cellStyle name="40% - Accent2 3 2 7" xfId="4567" xr:uid="{00000000-0005-0000-0000-0000C6040000}"/>
    <cellStyle name="40% - Accent2 3 2 7 2" xfId="13009" xr:uid="{774FCF4E-9F62-4C1D-98C7-6A1BD1B3F78B}"/>
    <cellStyle name="40% - Accent2 3 2 8" xfId="8791" xr:uid="{41D6AAE5-1519-4D21-89D3-AE6AEC972DB1}"/>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0F6F7B06-9D25-4836-B899-849F45974683}"/>
    <cellStyle name="40% - Accent2 3 3 2 3" xfId="11349" xr:uid="{91DE14E9-B26F-446C-9306-DABC44D9C3B3}"/>
    <cellStyle name="40% - Accent2 3 3 3" xfId="4980" xr:uid="{00000000-0005-0000-0000-0000CA040000}"/>
    <cellStyle name="40% - Accent2 3 3 3 2" xfId="13422" xr:uid="{2E03970C-8E8E-4FC9-B86D-60E47D89CED1}"/>
    <cellStyle name="40% - Accent2 3 3 4" xfId="9204" xr:uid="{81CB9442-320B-4611-BAF8-BA491F8779EA}"/>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313A07B-5A5B-4295-99A1-D63CCFBD4BC9}"/>
    <cellStyle name="40% - Accent2 3 4 2 3" xfId="11762" xr:uid="{AEE69321-7051-4DCB-A01D-92AB5AEC4025}"/>
    <cellStyle name="40% - Accent2 3 4 3" xfId="5393" xr:uid="{00000000-0005-0000-0000-0000CE040000}"/>
    <cellStyle name="40% - Accent2 3 4 3 2" xfId="13835" xr:uid="{5C24C3E3-8C92-4BAB-A88A-AAD17EE44CC4}"/>
    <cellStyle name="40% - Accent2 3 4 4" xfId="9617" xr:uid="{FFA806F7-85B3-492A-BF1B-5E81B9C49F26}"/>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248586B8-105E-469D-B7F6-378DC14C0AF5}"/>
    <cellStyle name="40% - Accent2 3 5 2 3" xfId="12175" xr:uid="{3AAE3B1F-DE7D-463F-86BC-351304638423}"/>
    <cellStyle name="40% - Accent2 3 5 3" xfId="5806" xr:uid="{00000000-0005-0000-0000-0000D2040000}"/>
    <cellStyle name="40% - Accent2 3 5 3 2" xfId="14248" xr:uid="{3226B53D-E61E-4240-AF0E-097D294FB8F1}"/>
    <cellStyle name="40% - Accent2 3 5 4" xfId="10030" xr:uid="{66225313-BDDE-45FB-93C9-6306EDAEDF7B}"/>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CB1A8629-713F-466D-A48D-AC8D64830777}"/>
    <cellStyle name="40% - Accent2 3 6 2 3" xfId="12588" xr:uid="{B46198BC-EB26-4046-A5C5-04482687F5B3}"/>
    <cellStyle name="40% - Accent2 3 6 3" xfId="6219" xr:uid="{00000000-0005-0000-0000-0000D6040000}"/>
    <cellStyle name="40% - Accent2 3 6 3 2" xfId="14661" xr:uid="{A401B508-4D1B-4ED7-BC4D-00252AF67800}"/>
    <cellStyle name="40% - Accent2 3 6 4" xfId="10443" xr:uid="{9058E142-14F6-4E73-947B-C74A05E944EF}"/>
    <cellStyle name="40% - Accent2 3 7" xfId="2325" xr:uid="{00000000-0005-0000-0000-0000D7040000}"/>
    <cellStyle name="40% - Accent2 3 7 2" xfId="6632" xr:uid="{00000000-0005-0000-0000-0000D8040000}"/>
    <cellStyle name="40% - Accent2 3 7 2 2" xfId="15074" xr:uid="{CFBB6595-B31F-410E-9E78-FA987A21F014}"/>
    <cellStyle name="40% - Accent2 3 7 3" xfId="10856" xr:uid="{2E333BAA-5314-40F9-B07C-56DED1FA5422}"/>
    <cellStyle name="40% - Accent2 3 8" xfId="4566" xr:uid="{00000000-0005-0000-0000-0000D9040000}"/>
    <cellStyle name="40% - Accent2 3 8 2" xfId="13008" xr:uid="{188E271C-C0D6-49EC-9D93-D44D036B4DD3}"/>
    <cellStyle name="40% - Accent2 3 9" xfId="8790" xr:uid="{94A21EEB-906A-4138-A81C-4CB19515726B}"/>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9A091920-6164-462D-A527-6D9A07EC0E20}"/>
    <cellStyle name="40% - Accent2 4 2 2 3" xfId="11351" xr:uid="{A3E418FF-9BDA-46A2-986C-6F00A42069B1}"/>
    <cellStyle name="40% - Accent2 4 2 3" xfId="4982" xr:uid="{00000000-0005-0000-0000-0000DE040000}"/>
    <cellStyle name="40% - Accent2 4 2 3 2" xfId="13424" xr:uid="{CB484D8F-3CED-4481-B87A-DEDAB70DF174}"/>
    <cellStyle name="40% - Accent2 4 2 4" xfId="9206" xr:uid="{A8AEB097-FDD0-473D-B0F9-666AC767BE3E}"/>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22AA2AAD-E9EA-4052-9A08-A775898D94C9}"/>
    <cellStyle name="40% - Accent2 4 3 2 3" xfId="11764" xr:uid="{79191A03-E286-4420-B529-75A13A6BABF3}"/>
    <cellStyle name="40% - Accent2 4 3 3" xfId="5395" xr:uid="{00000000-0005-0000-0000-0000E2040000}"/>
    <cellStyle name="40% - Accent2 4 3 3 2" xfId="13837" xr:uid="{26D570A0-6432-478A-9767-F0AD0D818FFF}"/>
    <cellStyle name="40% - Accent2 4 3 4" xfId="9619" xr:uid="{E18138FF-D0A3-4155-8F9F-16C96AB002C7}"/>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5BC882AF-3C0E-440D-A2F8-77952A355A27}"/>
    <cellStyle name="40% - Accent2 4 4 2 3" xfId="12177" xr:uid="{DADF89A1-E83D-4EF3-B280-28737AF49614}"/>
    <cellStyle name="40% - Accent2 4 4 3" xfId="5808" xr:uid="{00000000-0005-0000-0000-0000E6040000}"/>
    <cellStyle name="40% - Accent2 4 4 3 2" xfId="14250" xr:uid="{4A5B4792-4A95-49F4-B545-DF366033C8A5}"/>
    <cellStyle name="40% - Accent2 4 4 4" xfId="10032" xr:uid="{3261C438-034E-4A15-B7F8-B7426529B103}"/>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F707ED64-A9EC-453B-B852-D6EE3D9DCA95}"/>
    <cellStyle name="40% - Accent2 4 5 2 3" xfId="12590" xr:uid="{DA1D371D-EEEC-4BD1-AC3B-CF551A5B572D}"/>
    <cellStyle name="40% - Accent2 4 5 3" xfId="6221" xr:uid="{00000000-0005-0000-0000-0000EA040000}"/>
    <cellStyle name="40% - Accent2 4 5 3 2" xfId="14663" xr:uid="{77C46F26-A784-4E1C-85F4-E23A522BC34F}"/>
    <cellStyle name="40% - Accent2 4 5 4" xfId="10445" xr:uid="{DCC48470-1100-4255-A72D-510EF9313730}"/>
    <cellStyle name="40% - Accent2 4 6" xfId="2327" xr:uid="{00000000-0005-0000-0000-0000EB040000}"/>
    <cellStyle name="40% - Accent2 4 6 2" xfId="6634" xr:uid="{00000000-0005-0000-0000-0000EC040000}"/>
    <cellStyle name="40% - Accent2 4 6 2 2" xfId="15076" xr:uid="{F972EA6F-F2F8-46F8-8DDE-30F6BD6A2274}"/>
    <cellStyle name="40% - Accent2 4 6 3" xfId="10858" xr:uid="{E227949B-A798-42ED-B92F-C145EF88DBFD}"/>
    <cellStyle name="40% - Accent2 4 7" xfId="4568" xr:uid="{00000000-0005-0000-0000-0000ED040000}"/>
    <cellStyle name="40% - Accent2 4 7 2" xfId="13010" xr:uid="{DDB74DA7-09DD-460F-BF24-80180236DDEA}"/>
    <cellStyle name="40% - Accent2 4 8" xfId="8792" xr:uid="{DF947AB3-4693-41DA-8C0D-903BB4791E42}"/>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EA41EE86-3B6F-4AA7-B85C-445BF0DCDA44}"/>
    <cellStyle name="40% - Accent2 5 2 3" xfId="11344" xr:uid="{55366B5A-BDDB-47A6-B3BB-0A25025DA994}"/>
    <cellStyle name="40% - Accent2 5 3" xfId="4975" xr:uid="{00000000-0005-0000-0000-0000F1040000}"/>
    <cellStyle name="40% - Accent2 5 3 2" xfId="13417" xr:uid="{53666CEF-4854-4B9D-B872-2B9F9FD585AA}"/>
    <cellStyle name="40% - Accent2 5 4" xfId="9199" xr:uid="{2A054472-6DB1-488C-8872-88F8D844CA6D}"/>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9603858A-23B5-4C33-8C85-CA6FCF7A9AD3}"/>
    <cellStyle name="40% - Accent2 6 2 3" xfId="11757" xr:uid="{6B327ED3-2928-4FA3-B8CC-CC7AFBA45B01}"/>
    <cellStyle name="40% - Accent2 6 3" xfId="5388" xr:uid="{00000000-0005-0000-0000-0000F5040000}"/>
    <cellStyle name="40% - Accent2 6 3 2" xfId="13830" xr:uid="{9B5FB622-BB26-4BB6-A1CE-794397AE10AB}"/>
    <cellStyle name="40% - Accent2 6 4" xfId="9612" xr:uid="{F99FCAF9-2B11-4990-9BCE-5EB087C3A090}"/>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37A97B52-0A3C-4DC8-9C99-FD8779E4A00C}"/>
    <cellStyle name="40% - Accent2 7 2 3" xfId="12170" xr:uid="{220706A1-A9EA-4E05-A0C5-923FE135EEA0}"/>
    <cellStyle name="40% - Accent2 7 3" xfId="5801" xr:uid="{00000000-0005-0000-0000-0000F9040000}"/>
    <cellStyle name="40% - Accent2 7 3 2" xfId="14243" xr:uid="{9B610232-3B36-49FF-BF2C-E3D6068C2B7F}"/>
    <cellStyle name="40% - Accent2 7 4" xfId="10025" xr:uid="{312FAFF5-D154-45C9-9FE3-C23BE874F5B7}"/>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40B1ED00-39DF-47DD-AB4F-DE8BBDBFC972}"/>
    <cellStyle name="40% - Accent2 8 2 3" xfId="12583" xr:uid="{B8C8EADF-9B13-4DA3-BE3A-6D2123B2056D}"/>
    <cellStyle name="40% - Accent2 8 3" xfId="6214" xr:uid="{00000000-0005-0000-0000-0000FD040000}"/>
    <cellStyle name="40% - Accent2 8 3 2" xfId="14656" xr:uid="{A2665167-72D5-471F-932A-6C47EFAF30CD}"/>
    <cellStyle name="40% - Accent2 8 4" xfId="10438" xr:uid="{3F233AE1-B0D9-465C-B5F1-9E50B70F84ED}"/>
    <cellStyle name="40% - Accent2 9" xfId="2320" xr:uid="{00000000-0005-0000-0000-0000FE040000}"/>
    <cellStyle name="40% - Accent2 9 2" xfId="6627" xr:uid="{00000000-0005-0000-0000-0000FF040000}"/>
    <cellStyle name="40% - Accent2 9 2 2" xfId="15069" xr:uid="{CDA0E247-0FB8-4B43-B45B-A000920F0507}"/>
    <cellStyle name="40% - Accent2 9 3" xfId="10851" xr:uid="{0ADCD2A9-E3E5-47DB-A0A9-B43BD09A64BA}"/>
    <cellStyle name="40% - Accent3" xfId="65" builtinId="39" customBuiltin="1"/>
    <cellStyle name="40% - Accent3 10" xfId="4569" xr:uid="{00000000-0005-0000-0000-000001050000}"/>
    <cellStyle name="40% - Accent3 10 2" xfId="13011" xr:uid="{A699667F-8740-42BC-B9EF-1BF7E30BB76E}"/>
    <cellStyle name="40% - Accent3 11" xfId="8793" xr:uid="{A8A4D7EB-7EEB-4094-9447-5A175FA47C95}"/>
    <cellStyle name="40% - Accent3 2" xfId="66" xr:uid="{00000000-0005-0000-0000-000002050000}"/>
    <cellStyle name="40% - Accent3 2 10" xfId="8794" xr:uid="{3347D4C0-DD52-40EE-B4C5-35D5B7A6243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5BF18881-ACAD-4DE3-9C2E-13A625FA8EDD}"/>
    <cellStyle name="40% - Accent3 2 2 2 2 2 3" xfId="11355" xr:uid="{646FAF0A-74A9-44E7-BDDE-19EEED6C3122}"/>
    <cellStyle name="40% - Accent3 2 2 2 2 3" xfId="4986" xr:uid="{00000000-0005-0000-0000-000008050000}"/>
    <cellStyle name="40% - Accent3 2 2 2 2 3 2" xfId="13428" xr:uid="{0EC148FD-B487-48A0-9FF1-71D5D27FB372}"/>
    <cellStyle name="40% - Accent3 2 2 2 2 4" xfId="9210" xr:uid="{44A38A1E-A34D-492A-91E1-4CBC444CC7A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369BDEB0-488E-41A4-948F-A0F9422D24A6}"/>
    <cellStyle name="40% - Accent3 2 2 2 3 2 3" xfId="11768" xr:uid="{FF55AA8D-8AAD-4EAE-A6FE-946E460BCB31}"/>
    <cellStyle name="40% - Accent3 2 2 2 3 3" xfId="5399" xr:uid="{00000000-0005-0000-0000-00000C050000}"/>
    <cellStyle name="40% - Accent3 2 2 2 3 3 2" xfId="13841" xr:uid="{7AED825F-6730-425A-BFC1-06A0A1B3D213}"/>
    <cellStyle name="40% - Accent3 2 2 2 3 4" xfId="9623" xr:uid="{EA9E1A3E-49C3-40AD-A979-A869E20093FC}"/>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BD8698A6-26A9-44AC-BD76-0627D4B9EF67}"/>
    <cellStyle name="40% - Accent3 2 2 2 4 2 3" xfId="12181" xr:uid="{5921432A-7781-4040-ADF7-12F39819F3A9}"/>
    <cellStyle name="40% - Accent3 2 2 2 4 3" xfId="5812" xr:uid="{00000000-0005-0000-0000-000010050000}"/>
    <cellStyle name="40% - Accent3 2 2 2 4 3 2" xfId="14254" xr:uid="{B0254025-28E5-4B41-B7B7-E7614A3A472D}"/>
    <cellStyle name="40% - Accent3 2 2 2 4 4" xfId="10036" xr:uid="{3127D706-E06A-4F84-9A9D-26F9E7B15473}"/>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C9AB76D9-6AB1-42C2-ACEA-00826165D22C}"/>
    <cellStyle name="40% - Accent3 2 2 2 5 2 3" xfId="12594" xr:uid="{B20AC320-9172-4A6F-A9D0-F6DB9731970A}"/>
    <cellStyle name="40% - Accent3 2 2 2 5 3" xfId="6225" xr:uid="{00000000-0005-0000-0000-000014050000}"/>
    <cellStyle name="40% - Accent3 2 2 2 5 3 2" xfId="14667" xr:uid="{20343E3B-EFE5-499E-805F-34FC47CCA5C1}"/>
    <cellStyle name="40% - Accent3 2 2 2 5 4" xfId="10449" xr:uid="{8E8B724B-70E4-4A14-AA6D-24217667A48B}"/>
    <cellStyle name="40% - Accent3 2 2 2 6" xfId="2331" xr:uid="{00000000-0005-0000-0000-000015050000}"/>
    <cellStyle name="40% - Accent3 2 2 2 6 2" xfId="6638" xr:uid="{00000000-0005-0000-0000-000016050000}"/>
    <cellStyle name="40% - Accent3 2 2 2 6 2 2" xfId="15080" xr:uid="{804F43A3-B508-497C-8FFB-BFE6B8F799F7}"/>
    <cellStyle name="40% - Accent3 2 2 2 6 3" xfId="10862" xr:uid="{061B10C2-D308-4FC3-A374-7E6CF12658AA}"/>
    <cellStyle name="40% - Accent3 2 2 2 7" xfId="4572" xr:uid="{00000000-0005-0000-0000-000017050000}"/>
    <cellStyle name="40% - Accent3 2 2 2 7 2" xfId="13014" xr:uid="{586E0C4F-6380-45F7-8598-C34FA70205FF}"/>
    <cellStyle name="40% - Accent3 2 2 2 8" xfId="8796" xr:uid="{B9D4ABCB-A5BA-4A4E-8B05-E72D8AA1F5F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D3817A78-A1F4-4EC5-ABAB-22421CD38734}"/>
    <cellStyle name="40% - Accent3 2 2 3 2 3" xfId="11354" xr:uid="{6FD57BF8-0759-4C43-A00D-882626772020}"/>
    <cellStyle name="40% - Accent3 2 2 3 3" xfId="4985" xr:uid="{00000000-0005-0000-0000-00001B050000}"/>
    <cellStyle name="40% - Accent3 2 2 3 3 2" xfId="13427" xr:uid="{5F2B7A32-D9F3-430E-A685-80EA059D7BD1}"/>
    <cellStyle name="40% - Accent3 2 2 3 4" xfId="9209" xr:uid="{26343EB1-0530-43BF-87EF-2DDC9F47A01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9F1CD35-C70B-4D6B-93E9-777E4F303731}"/>
    <cellStyle name="40% - Accent3 2 2 4 2 3" xfId="11767" xr:uid="{195B81EA-2BA2-4A1D-AE66-F38C29E991DF}"/>
    <cellStyle name="40% - Accent3 2 2 4 3" xfId="5398" xr:uid="{00000000-0005-0000-0000-00001F050000}"/>
    <cellStyle name="40% - Accent3 2 2 4 3 2" xfId="13840" xr:uid="{CF619CED-5456-494D-97B6-F444B70464EB}"/>
    <cellStyle name="40% - Accent3 2 2 4 4" xfId="9622" xr:uid="{4957EEF5-AFF6-4A6B-A357-22F38B129B42}"/>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AFEF2F21-D9F1-492C-BE1E-5760D7667F3E}"/>
    <cellStyle name="40% - Accent3 2 2 5 2 3" xfId="12180" xr:uid="{007CF7C5-22DB-4ABA-9FFE-D02360BF99BA}"/>
    <cellStyle name="40% - Accent3 2 2 5 3" xfId="5811" xr:uid="{00000000-0005-0000-0000-000023050000}"/>
    <cellStyle name="40% - Accent3 2 2 5 3 2" xfId="14253" xr:uid="{F1049A9D-556C-4899-8693-AEA57E898373}"/>
    <cellStyle name="40% - Accent3 2 2 5 4" xfId="10035" xr:uid="{2B306E0A-844E-44CE-91F7-B3787346E66A}"/>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B94F1656-CBC6-4D3F-9F35-6AC6D303E609}"/>
    <cellStyle name="40% - Accent3 2 2 6 2 3" xfId="12593" xr:uid="{80CFCCB4-EFCD-4642-9A8B-8987C0436516}"/>
    <cellStyle name="40% - Accent3 2 2 6 3" xfId="6224" xr:uid="{00000000-0005-0000-0000-000027050000}"/>
    <cellStyle name="40% - Accent3 2 2 6 3 2" xfId="14666" xr:uid="{B9117AFC-2A1D-4972-818B-0F38200FA013}"/>
    <cellStyle name="40% - Accent3 2 2 6 4" xfId="10448" xr:uid="{A8B95CA8-7417-4564-92DF-221C660E921D}"/>
    <cellStyle name="40% - Accent3 2 2 7" xfId="2330" xr:uid="{00000000-0005-0000-0000-000028050000}"/>
    <cellStyle name="40% - Accent3 2 2 7 2" xfId="6637" xr:uid="{00000000-0005-0000-0000-000029050000}"/>
    <cellStyle name="40% - Accent3 2 2 7 2 2" xfId="15079" xr:uid="{855B61AF-7EE3-45C6-98F1-AAE29DD579CA}"/>
    <cellStyle name="40% - Accent3 2 2 7 3" xfId="10861" xr:uid="{E038A5FC-5326-402F-91B4-10B0F601DAE8}"/>
    <cellStyle name="40% - Accent3 2 2 8" xfId="4571" xr:uid="{00000000-0005-0000-0000-00002A050000}"/>
    <cellStyle name="40% - Accent3 2 2 8 2" xfId="13013" xr:uid="{8BB241EB-54E3-47AC-AFCC-4F04616A4059}"/>
    <cellStyle name="40% - Accent3 2 2 9" xfId="8795" xr:uid="{F06F32E6-4E52-4B0C-8E45-19A8D7A46046}"/>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5DDEEC90-3120-45CB-92C4-E2430FC48719}"/>
    <cellStyle name="40% - Accent3 2 3 2 2 3" xfId="11356" xr:uid="{4F6DB241-9E21-49DF-8F97-A5F4107EAB45}"/>
    <cellStyle name="40% - Accent3 2 3 2 3" xfId="4987" xr:uid="{00000000-0005-0000-0000-00002F050000}"/>
    <cellStyle name="40% - Accent3 2 3 2 3 2" xfId="13429" xr:uid="{0227BB1B-176C-42E8-8DE4-E08737318300}"/>
    <cellStyle name="40% - Accent3 2 3 2 4" xfId="9211" xr:uid="{A9DCCD7D-5002-4253-9322-BA44C91B4D4E}"/>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541AF0E0-4CE2-4E1A-8524-E453AAFEA611}"/>
    <cellStyle name="40% - Accent3 2 3 3 2 3" xfId="11769" xr:uid="{51A0C733-FBE7-4952-94C8-C0A0AEF1F6E5}"/>
    <cellStyle name="40% - Accent3 2 3 3 3" xfId="5400" xr:uid="{00000000-0005-0000-0000-000033050000}"/>
    <cellStyle name="40% - Accent3 2 3 3 3 2" xfId="13842" xr:uid="{78334962-196C-4C78-AE78-A9D377A4CB9A}"/>
    <cellStyle name="40% - Accent3 2 3 3 4" xfId="9624" xr:uid="{7030E9BA-0526-42B3-86D9-0EC94D886DD1}"/>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F093DD86-043B-44FD-8A55-D2B1B91CD62D}"/>
    <cellStyle name="40% - Accent3 2 3 4 2 3" xfId="12182" xr:uid="{99614577-E73A-4EE2-A13D-D1E437D314F2}"/>
    <cellStyle name="40% - Accent3 2 3 4 3" xfId="5813" xr:uid="{00000000-0005-0000-0000-000037050000}"/>
    <cellStyle name="40% - Accent3 2 3 4 3 2" xfId="14255" xr:uid="{108746FE-8A56-45B2-9903-54C4B0EE9AD8}"/>
    <cellStyle name="40% - Accent3 2 3 4 4" xfId="10037" xr:uid="{FEAA09AF-77C9-41BD-BB96-E8B92C121CD3}"/>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57D941B0-85BF-4EDA-9008-3C3AFF7DE49A}"/>
    <cellStyle name="40% - Accent3 2 3 5 2 3" xfId="12595" xr:uid="{B8F23D51-C5F1-479C-9DC5-1CD91CAD75BC}"/>
    <cellStyle name="40% - Accent3 2 3 5 3" xfId="6226" xr:uid="{00000000-0005-0000-0000-00003B050000}"/>
    <cellStyle name="40% - Accent3 2 3 5 3 2" xfId="14668" xr:uid="{790267B7-03B0-48D5-90C2-5E6BC8AC732B}"/>
    <cellStyle name="40% - Accent3 2 3 5 4" xfId="10450" xr:uid="{4FE4F8B1-9AE7-41F6-8A33-DD31B72697CC}"/>
    <cellStyle name="40% - Accent3 2 3 6" xfId="2332" xr:uid="{00000000-0005-0000-0000-00003C050000}"/>
    <cellStyle name="40% - Accent3 2 3 6 2" xfId="6639" xr:uid="{00000000-0005-0000-0000-00003D050000}"/>
    <cellStyle name="40% - Accent3 2 3 6 2 2" xfId="15081" xr:uid="{1F46978A-88FF-4BD8-AF91-C2ABD227F4EE}"/>
    <cellStyle name="40% - Accent3 2 3 6 3" xfId="10863" xr:uid="{95EE6BC9-697B-4821-ACF4-7BF6AD5EAF5C}"/>
    <cellStyle name="40% - Accent3 2 3 7" xfId="4573" xr:uid="{00000000-0005-0000-0000-00003E050000}"/>
    <cellStyle name="40% - Accent3 2 3 7 2" xfId="13015" xr:uid="{7D8CB9C6-7074-4EEC-A1D5-2AFCAFD4C386}"/>
    <cellStyle name="40% - Accent3 2 3 8" xfId="8797" xr:uid="{C3CDC11A-A603-41EB-91B6-420EEB372410}"/>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5832B543-97DB-4AB6-AC30-AA1F6DF5CDB9}"/>
    <cellStyle name="40% - Accent3 2 4 2 3" xfId="11353" xr:uid="{4F2383ED-9A2D-4F19-8324-294FE900FBDA}"/>
    <cellStyle name="40% - Accent3 2 4 3" xfId="4984" xr:uid="{00000000-0005-0000-0000-000042050000}"/>
    <cellStyle name="40% - Accent3 2 4 3 2" xfId="13426" xr:uid="{40CCF05C-2EB4-4A66-A1F0-AC2056463FE2}"/>
    <cellStyle name="40% - Accent3 2 4 4" xfId="9208" xr:uid="{3A93442B-B9E5-4243-A681-77F023F6C351}"/>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E30396B1-144A-4656-B964-BACCA33CAAAD}"/>
    <cellStyle name="40% - Accent3 2 5 2 3" xfId="11766" xr:uid="{3EA44F9D-D9E9-4D9E-A61B-268D4ABB014F}"/>
    <cellStyle name="40% - Accent3 2 5 3" xfId="5397" xr:uid="{00000000-0005-0000-0000-000046050000}"/>
    <cellStyle name="40% - Accent3 2 5 3 2" xfId="13839" xr:uid="{988046C9-EA90-4AC6-B896-8FD425F04DCE}"/>
    <cellStyle name="40% - Accent3 2 5 4" xfId="9621" xr:uid="{419C7F7E-41E6-44CA-A37E-830E70121464}"/>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0BCE7F42-1F36-4F00-8228-AD37568D4DE4}"/>
    <cellStyle name="40% - Accent3 2 6 2 3" xfId="12179" xr:uid="{8358615A-E326-49C0-ADF6-74675FEDDB61}"/>
    <cellStyle name="40% - Accent3 2 6 3" xfId="5810" xr:uid="{00000000-0005-0000-0000-00004A050000}"/>
    <cellStyle name="40% - Accent3 2 6 3 2" xfId="14252" xr:uid="{0D16786A-B58A-4B19-8E60-7BAAEA490296}"/>
    <cellStyle name="40% - Accent3 2 6 4" xfId="10034" xr:uid="{F6B4230A-3122-478D-B928-E34622531043}"/>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2E7B2E06-F364-41F6-8694-1E5AFDE5BFB8}"/>
    <cellStyle name="40% - Accent3 2 7 2 3" xfId="12592" xr:uid="{708F79E8-AEA3-4294-881D-9B73234B8DB1}"/>
    <cellStyle name="40% - Accent3 2 7 3" xfId="6223" xr:uid="{00000000-0005-0000-0000-00004E050000}"/>
    <cellStyle name="40% - Accent3 2 7 3 2" xfId="14665" xr:uid="{8B220B45-5082-44B5-8797-5FCBF4147A40}"/>
    <cellStyle name="40% - Accent3 2 7 4" xfId="10447" xr:uid="{BA2268C9-44F9-4FA0-8EEC-373DB26D9266}"/>
    <cellStyle name="40% - Accent3 2 8" xfId="2329" xr:uid="{00000000-0005-0000-0000-00004F050000}"/>
    <cellStyle name="40% - Accent3 2 8 2" xfId="6636" xr:uid="{00000000-0005-0000-0000-000050050000}"/>
    <cellStyle name="40% - Accent3 2 8 2 2" xfId="15078" xr:uid="{55D44CD3-C505-423D-8715-93C1EC34CE1D}"/>
    <cellStyle name="40% - Accent3 2 8 3" xfId="10860" xr:uid="{72FCF16F-2101-4B3A-BCC1-E1EA2F108600}"/>
    <cellStyle name="40% - Accent3 2 9" xfId="4570" xr:uid="{00000000-0005-0000-0000-000051050000}"/>
    <cellStyle name="40% - Accent3 2 9 2" xfId="13012" xr:uid="{790ED405-44FE-430C-83D9-E0D9F278BDD4}"/>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E58C793A-59F7-4F22-826E-AAB492EC390D}"/>
    <cellStyle name="40% - Accent3 3 2 2 2 3" xfId="11358" xr:uid="{F90B02B2-F3E9-41D3-B4E6-CBB3CF93893E}"/>
    <cellStyle name="40% - Accent3 3 2 2 3" xfId="4989" xr:uid="{00000000-0005-0000-0000-000057050000}"/>
    <cellStyle name="40% - Accent3 3 2 2 3 2" xfId="13431" xr:uid="{71A96629-00BC-41B8-B88F-66AA4DD232DF}"/>
    <cellStyle name="40% - Accent3 3 2 2 4" xfId="9213" xr:uid="{89F40CB5-2D44-43DC-93CB-8D12DDD6F048}"/>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604B621A-BC60-4C91-825D-0304F1258514}"/>
    <cellStyle name="40% - Accent3 3 2 3 2 3" xfId="11771" xr:uid="{B9C0246A-C13A-483B-978F-81D6ED22D3D8}"/>
    <cellStyle name="40% - Accent3 3 2 3 3" xfId="5402" xr:uid="{00000000-0005-0000-0000-00005B050000}"/>
    <cellStyle name="40% - Accent3 3 2 3 3 2" xfId="13844" xr:uid="{94A75ABF-5B17-497E-B24F-368D19A90F8B}"/>
    <cellStyle name="40% - Accent3 3 2 3 4" xfId="9626" xr:uid="{A9141C18-8324-47F8-B49F-C80E00027145}"/>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1D326399-FC4D-447F-9F76-999603FDF85B}"/>
    <cellStyle name="40% - Accent3 3 2 4 2 3" xfId="12184" xr:uid="{8FC58AEC-D657-4395-B448-F81E12A10562}"/>
    <cellStyle name="40% - Accent3 3 2 4 3" xfId="5815" xr:uid="{00000000-0005-0000-0000-00005F050000}"/>
    <cellStyle name="40% - Accent3 3 2 4 3 2" xfId="14257" xr:uid="{373BDA84-FBE8-4795-A359-AE6F73DE0E76}"/>
    <cellStyle name="40% - Accent3 3 2 4 4" xfId="10039" xr:uid="{C038C753-3A80-40DF-955F-5EDFEE56F536}"/>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B08DDBB6-B5B5-438E-A633-0A7E01BA6D97}"/>
    <cellStyle name="40% - Accent3 3 2 5 2 3" xfId="12597" xr:uid="{A004D264-C7AC-4CBE-8595-73BC5A166489}"/>
    <cellStyle name="40% - Accent3 3 2 5 3" xfId="6228" xr:uid="{00000000-0005-0000-0000-000063050000}"/>
    <cellStyle name="40% - Accent3 3 2 5 3 2" xfId="14670" xr:uid="{1B797582-8424-4B65-B0BC-7A44B4B617A5}"/>
    <cellStyle name="40% - Accent3 3 2 5 4" xfId="10452" xr:uid="{ACC38440-3EE7-46FB-8C86-9DCE22F1595A}"/>
    <cellStyle name="40% - Accent3 3 2 6" xfId="2334" xr:uid="{00000000-0005-0000-0000-000064050000}"/>
    <cellStyle name="40% - Accent3 3 2 6 2" xfId="6641" xr:uid="{00000000-0005-0000-0000-000065050000}"/>
    <cellStyle name="40% - Accent3 3 2 6 2 2" xfId="15083" xr:uid="{7A68E373-B0FD-4C25-B41C-33C5B103F2E3}"/>
    <cellStyle name="40% - Accent3 3 2 6 3" xfId="10865" xr:uid="{812DD522-47FA-4116-82F1-0B5871B639DA}"/>
    <cellStyle name="40% - Accent3 3 2 7" xfId="4575" xr:uid="{00000000-0005-0000-0000-000066050000}"/>
    <cellStyle name="40% - Accent3 3 2 7 2" xfId="13017" xr:uid="{29B86035-5E8E-4652-913E-796167988960}"/>
    <cellStyle name="40% - Accent3 3 2 8" xfId="8799" xr:uid="{4AC68440-1C1D-48E1-916F-22AEC2664B3E}"/>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E7D51FF4-3E21-4C66-A771-C8A6B3AB4AAA}"/>
    <cellStyle name="40% - Accent3 3 3 2 3" xfId="11357" xr:uid="{325AF1A3-0B04-4C27-B637-6C3181B7F083}"/>
    <cellStyle name="40% - Accent3 3 3 3" xfId="4988" xr:uid="{00000000-0005-0000-0000-00006A050000}"/>
    <cellStyle name="40% - Accent3 3 3 3 2" xfId="13430" xr:uid="{561639EB-9AA4-48E0-9E60-81DD6DCCABB7}"/>
    <cellStyle name="40% - Accent3 3 3 4" xfId="9212" xr:uid="{B4D489F4-C51B-4C3A-8D93-BB1398C253CD}"/>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599C49F6-E65A-4430-AF89-50E8E6E7A7AA}"/>
    <cellStyle name="40% - Accent3 3 4 2 3" xfId="11770" xr:uid="{25A3BEB3-E427-4E42-B3FB-3257F7DFDA72}"/>
    <cellStyle name="40% - Accent3 3 4 3" xfId="5401" xr:uid="{00000000-0005-0000-0000-00006E050000}"/>
    <cellStyle name="40% - Accent3 3 4 3 2" xfId="13843" xr:uid="{EDD4FFBE-D0FC-4333-AC88-3E43A7618AAB}"/>
    <cellStyle name="40% - Accent3 3 4 4" xfId="9625" xr:uid="{4A886A1E-C185-4DDF-8387-AA745CAB19A3}"/>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385FE287-DCE9-4815-AEF4-697B257F7AFC}"/>
    <cellStyle name="40% - Accent3 3 5 2 3" xfId="12183" xr:uid="{E144B879-3169-4FE8-95BE-A18D79A1EE66}"/>
    <cellStyle name="40% - Accent3 3 5 3" xfId="5814" xr:uid="{00000000-0005-0000-0000-000072050000}"/>
    <cellStyle name="40% - Accent3 3 5 3 2" xfId="14256" xr:uid="{92F040A5-C060-4861-BD7A-ADB593D77E55}"/>
    <cellStyle name="40% - Accent3 3 5 4" xfId="10038" xr:uid="{AF8CA1BF-1E54-476F-9761-EFC8D8EEA9A6}"/>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486F9440-F53D-4F65-BD4C-DFD1A5229D1E}"/>
    <cellStyle name="40% - Accent3 3 6 2 3" xfId="12596" xr:uid="{8F76C019-BB50-4EC6-B657-4E837569B030}"/>
    <cellStyle name="40% - Accent3 3 6 3" xfId="6227" xr:uid="{00000000-0005-0000-0000-000076050000}"/>
    <cellStyle name="40% - Accent3 3 6 3 2" xfId="14669" xr:uid="{8612C885-E9F1-4C72-8745-95EC18198931}"/>
    <cellStyle name="40% - Accent3 3 6 4" xfId="10451" xr:uid="{C3D5AC7B-6C24-487D-8C74-BBF3AFA3E444}"/>
    <cellStyle name="40% - Accent3 3 7" xfId="2333" xr:uid="{00000000-0005-0000-0000-000077050000}"/>
    <cellStyle name="40% - Accent3 3 7 2" xfId="6640" xr:uid="{00000000-0005-0000-0000-000078050000}"/>
    <cellStyle name="40% - Accent3 3 7 2 2" xfId="15082" xr:uid="{E0BF2856-DBB3-4EF8-9F7C-F40F4D78764E}"/>
    <cellStyle name="40% - Accent3 3 7 3" xfId="10864" xr:uid="{FB239FEE-0CF1-43A8-9D49-32F94502E206}"/>
    <cellStyle name="40% - Accent3 3 8" xfId="4574" xr:uid="{00000000-0005-0000-0000-000079050000}"/>
    <cellStyle name="40% - Accent3 3 8 2" xfId="13016" xr:uid="{FAF16806-4B48-4C29-B479-5115554DBA63}"/>
    <cellStyle name="40% - Accent3 3 9" xfId="8798" xr:uid="{D7CCE08B-65CD-4165-8D6E-FCD9193A2F37}"/>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8B0AD05C-95A1-4DDD-86C0-B35901E7289D}"/>
    <cellStyle name="40% - Accent3 4 2 2 3" xfId="11359" xr:uid="{E6E7BC29-647D-4E91-8665-E38A7E5E805D}"/>
    <cellStyle name="40% - Accent3 4 2 3" xfId="4990" xr:uid="{00000000-0005-0000-0000-00007E050000}"/>
    <cellStyle name="40% - Accent3 4 2 3 2" xfId="13432" xr:uid="{538DFBE7-8377-4BF8-AC91-83C621B794EB}"/>
    <cellStyle name="40% - Accent3 4 2 4" xfId="9214" xr:uid="{976A9349-F0F4-4226-A5F6-8CDEE6B9D82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4CB1DCAD-D5DD-4B8E-8A82-756F44E67E86}"/>
    <cellStyle name="40% - Accent3 4 3 2 3" xfId="11772" xr:uid="{3147F805-0778-4EB2-B12B-EC60498B7618}"/>
    <cellStyle name="40% - Accent3 4 3 3" xfId="5403" xr:uid="{00000000-0005-0000-0000-000082050000}"/>
    <cellStyle name="40% - Accent3 4 3 3 2" xfId="13845" xr:uid="{6304BD80-D634-42A8-8FD3-6D14F1D335B2}"/>
    <cellStyle name="40% - Accent3 4 3 4" xfId="9627" xr:uid="{DEF633AE-3863-4FBD-AE17-49295622823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2DB1A20-847A-48CC-846D-465D2AF17E4C}"/>
    <cellStyle name="40% - Accent3 4 4 2 3" xfId="12185" xr:uid="{E330314E-5AAF-48A9-95F6-CD1134E40F75}"/>
    <cellStyle name="40% - Accent3 4 4 3" xfId="5816" xr:uid="{00000000-0005-0000-0000-000086050000}"/>
    <cellStyle name="40% - Accent3 4 4 3 2" xfId="14258" xr:uid="{E0CE6FA7-1A2D-4714-85C4-9263AE6B0578}"/>
    <cellStyle name="40% - Accent3 4 4 4" xfId="10040" xr:uid="{43B82A14-7617-49FA-BF6F-6198DDA478D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329EA761-780E-438D-B7EE-60B01EF50D3A}"/>
    <cellStyle name="40% - Accent3 4 5 2 3" xfId="12598" xr:uid="{D0D7F2F4-1EB5-4391-8716-56201951453C}"/>
    <cellStyle name="40% - Accent3 4 5 3" xfId="6229" xr:uid="{00000000-0005-0000-0000-00008A050000}"/>
    <cellStyle name="40% - Accent3 4 5 3 2" xfId="14671" xr:uid="{6BC8EFEB-0020-496B-8B0B-850202216D26}"/>
    <cellStyle name="40% - Accent3 4 5 4" xfId="10453" xr:uid="{8F58393D-DC06-4E1E-BDF1-92DAAF6E64D6}"/>
    <cellStyle name="40% - Accent3 4 6" xfId="2335" xr:uid="{00000000-0005-0000-0000-00008B050000}"/>
    <cellStyle name="40% - Accent3 4 6 2" xfId="6642" xr:uid="{00000000-0005-0000-0000-00008C050000}"/>
    <cellStyle name="40% - Accent3 4 6 2 2" xfId="15084" xr:uid="{05BFAFE0-C9F8-4BB0-B94D-063202A5CC71}"/>
    <cellStyle name="40% - Accent3 4 6 3" xfId="10866" xr:uid="{309141E2-1CD0-4146-B748-1FB6D80AA817}"/>
    <cellStyle name="40% - Accent3 4 7" xfId="4576" xr:uid="{00000000-0005-0000-0000-00008D050000}"/>
    <cellStyle name="40% - Accent3 4 7 2" xfId="13018" xr:uid="{7F4BE4D0-97E5-4D5A-903E-29BA3A38CDE8}"/>
    <cellStyle name="40% - Accent3 4 8" xfId="8800" xr:uid="{04D7D2EC-B987-45DF-8F30-F0F713111422}"/>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81C82FC9-89D8-4890-8523-69E3FF271FFD}"/>
    <cellStyle name="40% - Accent3 5 2 3" xfId="11352" xr:uid="{DFDFC0BD-70AF-4ED5-97D5-3F74C42AECF2}"/>
    <cellStyle name="40% - Accent3 5 3" xfId="4983" xr:uid="{00000000-0005-0000-0000-000091050000}"/>
    <cellStyle name="40% - Accent3 5 3 2" xfId="13425" xr:uid="{11C659D4-4264-4558-A303-533A4314E1A9}"/>
    <cellStyle name="40% - Accent3 5 4" xfId="9207" xr:uid="{1BCFC897-2BDB-409A-9498-EEDF721FD701}"/>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0EF71573-A181-4D81-B27F-AE9840B77500}"/>
    <cellStyle name="40% - Accent3 6 2 3" xfId="11765" xr:uid="{13CE361A-04D3-457C-9CA3-B6472BCFD052}"/>
    <cellStyle name="40% - Accent3 6 3" xfId="5396" xr:uid="{00000000-0005-0000-0000-000095050000}"/>
    <cellStyle name="40% - Accent3 6 3 2" xfId="13838" xr:uid="{85364E89-89A0-433E-9F02-421697B83D99}"/>
    <cellStyle name="40% - Accent3 6 4" xfId="9620" xr:uid="{8B36BF3E-9C64-4876-A7F7-B9E60D2089A1}"/>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655E10CE-FD70-4BFD-BEE0-3D9867068AD7}"/>
    <cellStyle name="40% - Accent3 7 2 3" xfId="12178" xr:uid="{31FCAF66-955E-4FAC-A6F3-E012EB359496}"/>
    <cellStyle name="40% - Accent3 7 3" xfId="5809" xr:uid="{00000000-0005-0000-0000-000099050000}"/>
    <cellStyle name="40% - Accent3 7 3 2" xfId="14251" xr:uid="{8E7836C9-A850-4841-95D0-325C78D68C7E}"/>
    <cellStyle name="40% - Accent3 7 4" xfId="10033" xr:uid="{A618ED4D-1D89-4BF8-A499-B1D70860C3F3}"/>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43F3B7CA-B5C7-4734-A0DE-9B851DD1F8D6}"/>
    <cellStyle name="40% - Accent3 8 2 3" xfId="12591" xr:uid="{482B1790-2941-4B4E-A4F6-7275AB3034C3}"/>
    <cellStyle name="40% - Accent3 8 3" xfId="6222" xr:uid="{00000000-0005-0000-0000-00009D050000}"/>
    <cellStyle name="40% - Accent3 8 3 2" xfId="14664" xr:uid="{85709EB2-9B6C-41A9-84D6-7D0C7C57F16B}"/>
    <cellStyle name="40% - Accent3 8 4" xfId="10446" xr:uid="{6671E0E3-3BDF-4478-89FD-5D56C236D863}"/>
    <cellStyle name="40% - Accent3 9" xfId="2328" xr:uid="{00000000-0005-0000-0000-00009E050000}"/>
    <cellStyle name="40% - Accent3 9 2" xfId="6635" xr:uid="{00000000-0005-0000-0000-00009F050000}"/>
    <cellStyle name="40% - Accent3 9 2 2" xfId="15077" xr:uid="{BDE34D86-765C-4525-89EF-AC160E9B01EB}"/>
    <cellStyle name="40% - Accent3 9 3" xfId="10859" xr:uid="{3503EA9E-CD0E-47E4-986A-E958449D180C}"/>
    <cellStyle name="40% - Accent4" xfId="73" builtinId="43" customBuiltin="1"/>
    <cellStyle name="40% - Accent4 10" xfId="4577" xr:uid="{00000000-0005-0000-0000-0000A1050000}"/>
    <cellStyle name="40% - Accent4 10 2" xfId="13019" xr:uid="{EFD5D4CF-37E3-40AB-86AD-6818C24D2613}"/>
    <cellStyle name="40% - Accent4 11" xfId="8801" xr:uid="{4C6CB1AA-84C4-4E83-8515-615C767B2AC4}"/>
    <cellStyle name="40% - Accent4 2" xfId="74" xr:uid="{00000000-0005-0000-0000-0000A2050000}"/>
    <cellStyle name="40% - Accent4 2 10" xfId="8802" xr:uid="{40DC4140-C445-4996-9903-566C2830F4DF}"/>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7F6FAB55-BBEC-4BE7-95CC-30ED9CCF8466}"/>
    <cellStyle name="40% - Accent4 2 2 2 2 2 3" xfId="11363" xr:uid="{4CB450D7-80C8-4F25-AAE4-69F4AA2E017D}"/>
    <cellStyle name="40% - Accent4 2 2 2 2 3" xfId="4994" xr:uid="{00000000-0005-0000-0000-0000A8050000}"/>
    <cellStyle name="40% - Accent4 2 2 2 2 3 2" xfId="13436" xr:uid="{57C743CD-7BFC-484E-8920-155470BD7CC8}"/>
    <cellStyle name="40% - Accent4 2 2 2 2 4" xfId="9218" xr:uid="{6D19CF26-C080-4EB8-AE0C-53249BB5B192}"/>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4456F1F3-2397-4E03-87F4-09C3F1A32581}"/>
    <cellStyle name="40% - Accent4 2 2 2 3 2 3" xfId="11776" xr:uid="{8A156606-48CE-44E3-B5BD-500B371FF323}"/>
    <cellStyle name="40% - Accent4 2 2 2 3 3" xfId="5407" xr:uid="{00000000-0005-0000-0000-0000AC050000}"/>
    <cellStyle name="40% - Accent4 2 2 2 3 3 2" xfId="13849" xr:uid="{1B25A0E1-21F8-49B3-92B7-8AE50C41ED82}"/>
    <cellStyle name="40% - Accent4 2 2 2 3 4" xfId="9631" xr:uid="{CEE61C05-CCD9-4507-91F5-E1960B6AFFAF}"/>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0C413361-98B5-49E8-800B-86915F884DE2}"/>
    <cellStyle name="40% - Accent4 2 2 2 4 2 3" xfId="12189" xr:uid="{61A1E9F4-74BA-459E-89B8-E51C4D09B3E6}"/>
    <cellStyle name="40% - Accent4 2 2 2 4 3" xfId="5820" xr:uid="{00000000-0005-0000-0000-0000B0050000}"/>
    <cellStyle name="40% - Accent4 2 2 2 4 3 2" xfId="14262" xr:uid="{7CD3903C-1B38-40E8-89D8-DA023AE5433C}"/>
    <cellStyle name="40% - Accent4 2 2 2 4 4" xfId="10044" xr:uid="{770AE06F-25C1-4580-B852-5C834317AF82}"/>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C03323CA-7A19-4DC9-8AAA-CA3B77F2B01D}"/>
    <cellStyle name="40% - Accent4 2 2 2 5 2 3" xfId="12602" xr:uid="{6E314902-7C8B-4E8F-A7AC-7160ECE2BBA4}"/>
    <cellStyle name="40% - Accent4 2 2 2 5 3" xfId="6233" xr:uid="{00000000-0005-0000-0000-0000B4050000}"/>
    <cellStyle name="40% - Accent4 2 2 2 5 3 2" xfId="14675" xr:uid="{853C9B6E-60D9-4BEE-804F-DCA781FE66F9}"/>
    <cellStyle name="40% - Accent4 2 2 2 5 4" xfId="10457" xr:uid="{658E35B4-1667-458C-B38D-73B88C8B8D52}"/>
    <cellStyle name="40% - Accent4 2 2 2 6" xfId="2339" xr:uid="{00000000-0005-0000-0000-0000B5050000}"/>
    <cellStyle name="40% - Accent4 2 2 2 6 2" xfId="6646" xr:uid="{00000000-0005-0000-0000-0000B6050000}"/>
    <cellStyle name="40% - Accent4 2 2 2 6 2 2" xfId="15088" xr:uid="{0C3EF023-9614-4BB7-B00A-1CB73DF13218}"/>
    <cellStyle name="40% - Accent4 2 2 2 6 3" xfId="10870" xr:uid="{FB64A301-827A-4572-8BFF-446329E843B0}"/>
    <cellStyle name="40% - Accent4 2 2 2 7" xfId="4580" xr:uid="{00000000-0005-0000-0000-0000B7050000}"/>
    <cellStyle name="40% - Accent4 2 2 2 7 2" xfId="13022" xr:uid="{06939F66-729D-4098-9B7C-75D7C4E8AD61}"/>
    <cellStyle name="40% - Accent4 2 2 2 8" xfId="8804" xr:uid="{143C5B9B-F909-4A74-9FDC-C0B841565BA8}"/>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3DE52FE9-7FA3-406F-8A74-BB5009006E62}"/>
    <cellStyle name="40% - Accent4 2 2 3 2 3" xfId="11362" xr:uid="{7430C70E-3717-4C86-A5A3-BD225964959F}"/>
    <cellStyle name="40% - Accent4 2 2 3 3" xfId="4993" xr:uid="{00000000-0005-0000-0000-0000BB050000}"/>
    <cellStyle name="40% - Accent4 2 2 3 3 2" xfId="13435" xr:uid="{A1D013DF-ECF1-4686-99E9-7B31A255DF73}"/>
    <cellStyle name="40% - Accent4 2 2 3 4" xfId="9217" xr:uid="{F1125086-FCB8-485B-8E46-5A393380506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310EA5F2-B1B1-4A5B-ACD1-AB9FE686723A}"/>
    <cellStyle name="40% - Accent4 2 2 4 2 3" xfId="11775" xr:uid="{42C3F642-7D85-445A-8B6B-9647E7DC38F3}"/>
    <cellStyle name="40% - Accent4 2 2 4 3" xfId="5406" xr:uid="{00000000-0005-0000-0000-0000BF050000}"/>
    <cellStyle name="40% - Accent4 2 2 4 3 2" xfId="13848" xr:uid="{8ABDFD3E-70C9-4E3B-872E-5A1257DF4F9A}"/>
    <cellStyle name="40% - Accent4 2 2 4 4" xfId="9630" xr:uid="{21558019-90F4-47EA-9AF1-177BE9DB6832}"/>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067A2D16-F9DB-4AA1-BD3A-A8E5821F6FF3}"/>
    <cellStyle name="40% - Accent4 2 2 5 2 3" xfId="12188" xr:uid="{07FD67BF-ED15-4ADE-8049-8E6BC42A84CB}"/>
    <cellStyle name="40% - Accent4 2 2 5 3" xfId="5819" xr:uid="{00000000-0005-0000-0000-0000C3050000}"/>
    <cellStyle name="40% - Accent4 2 2 5 3 2" xfId="14261" xr:uid="{3108EE2E-0CFA-42AF-B569-01F6A3C8436D}"/>
    <cellStyle name="40% - Accent4 2 2 5 4" xfId="10043" xr:uid="{855B491B-6436-465F-B605-12DFCC324CFD}"/>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A6ACA1E5-F3FC-4F9D-97DB-EC63396B2FF6}"/>
    <cellStyle name="40% - Accent4 2 2 6 2 3" xfId="12601" xr:uid="{3458CC45-E163-441C-85A9-C2BFD6F96688}"/>
    <cellStyle name="40% - Accent4 2 2 6 3" xfId="6232" xr:uid="{00000000-0005-0000-0000-0000C7050000}"/>
    <cellStyle name="40% - Accent4 2 2 6 3 2" xfId="14674" xr:uid="{D1EB79EB-1A2E-4233-BA2B-3C5E9F4D19D0}"/>
    <cellStyle name="40% - Accent4 2 2 6 4" xfId="10456" xr:uid="{C0B6B8C8-D373-4B4E-8F67-B42F46CB32D6}"/>
    <cellStyle name="40% - Accent4 2 2 7" xfId="2338" xr:uid="{00000000-0005-0000-0000-0000C8050000}"/>
    <cellStyle name="40% - Accent4 2 2 7 2" xfId="6645" xr:uid="{00000000-0005-0000-0000-0000C9050000}"/>
    <cellStyle name="40% - Accent4 2 2 7 2 2" xfId="15087" xr:uid="{C79518B9-DB3D-4AF7-ACBB-64E2EB28EF6E}"/>
    <cellStyle name="40% - Accent4 2 2 7 3" xfId="10869" xr:uid="{F5A30733-D1A6-42E4-BFF4-32D41739F460}"/>
    <cellStyle name="40% - Accent4 2 2 8" xfId="4579" xr:uid="{00000000-0005-0000-0000-0000CA050000}"/>
    <cellStyle name="40% - Accent4 2 2 8 2" xfId="13021" xr:uid="{5F7108A8-A6B7-49C1-AA4F-D3C716B6CAF8}"/>
    <cellStyle name="40% - Accent4 2 2 9" xfId="8803" xr:uid="{3A51F962-0ECB-43D7-9C47-6A64B3422EA8}"/>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C3421C1B-1543-488E-9EB6-521FF84B0BE6}"/>
    <cellStyle name="40% - Accent4 2 3 2 2 3" xfId="11364" xr:uid="{B353882A-5D2A-4C1C-B782-C10492A4DFC8}"/>
    <cellStyle name="40% - Accent4 2 3 2 3" xfId="4995" xr:uid="{00000000-0005-0000-0000-0000CF050000}"/>
    <cellStyle name="40% - Accent4 2 3 2 3 2" xfId="13437" xr:uid="{9697B669-D4D9-4930-860B-8E8FFA865855}"/>
    <cellStyle name="40% - Accent4 2 3 2 4" xfId="9219" xr:uid="{BDA82FFF-69CB-4C07-AFCA-1E2BE2778D58}"/>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C74D8E6A-F523-4C45-B262-5638D9079862}"/>
    <cellStyle name="40% - Accent4 2 3 3 2 3" xfId="11777" xr:uid="{DDE5D5A6-1474-48BB-9016-4D803C968B88}"/>
    <cellStyle name="40% - Accent4 2 3 3 3" xfId="5408" xr:uid="{00000000-0005-0000-0000-0000D3050000}"/>
    <cellStyle name="40% - Accent4 2 3 3 3 2" xfId="13850" xr:uid="{4C90633A-652F-4DF2-955F-9F4C2F3F858E}"/>
    <cellStyle name="40% - Accent4 2 3 3 4" xfId="9632" xr:uid="{479F75CF-195E-486B-AF70-E35E08B524D2}"/>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DE6EC77C-84DE-4525-B862-6663E6CC4FD2}"/>
    <cellStyle name="40% - Accent4 2 3 4 2 3" xfId="12190" xr:uid="{4113ACAB-09C7-457B-9FB7-2643A88A5F63}"/>
    <cellStyle name="40% - Accent4 2 3 4 3" xfId="5821" xr:uid="{00000000-0005-0000-0000-0000D7050000}"/>
    <cellStyle name="40% - Accent4 2 3 4 3 2" xfId="14263" xr:uid="{5406D697-EB00-45FC-BCD4-817EEDB11901}"/>
    <cellStyle name="40% - Accent4 2 3 4 4" xfId="10045" xr:uid="{3E271F2C-B8BA-45DF-8EEF-DC8195BE0647}"/>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08CF3D28-D44F-4237-A804-B8101FE2B272}"/>
    <cellStyle name="40% - Accent4 2 3 5 2 3" xfId="12603" xr:uid="{F6E7F97D-7017-41F6-9DE5-B79FA83EDFD5}"/>
    <cellStyle name="40% - Accent4 2 3 5 3" xfId="6234" xr:uid="{00000000-0005-0000-0000-0000DB050000}"/>
    <cellStyle name="40% - Accent4 2 3 5 3 2" xfId="14676" xr:uid="{4194C6E6-564E-4302-9464-5FCAB9078BA3}"/>
    <cellStyle name="40% - Accent4 2 3 5 4" xfId="10458" xr:uid="{54FF4623-2E3D-4945-9FB9-FDA9FD01A247}"/>
    <cellStyle name="40% - Accent4 2 3 6" xfId="2340" xr:uid="{00000000-0005-0000-0000-0000DC050000}"/>
    <cellStyle name="40% - Accent4 2 3 6 2" xfId="6647" xr:uid="{00000000-0005-0000-0000-0000DD050000}"/>
    <cellStyle name="40% - Accent4 2 3 6 2 2" xfId="15089" xr:uid="{21D5769A-AD8B-41B2-8992-B81CFC03A29A}"/>
    <cellStyle name="40% - Accent4 2 3 6 3" xfId="10871" xr:uid="{3F1A0C35-734D-4024-912C-138F37DFE442}"/>
    <cellStyle name="40% - Accent4 2 3 7" xfId="4581" xr:uid="{00000000-0005-0000-0000-0000DE050000}"/>
    <cellStyle name="40% - Accent4 2 3 7 2" xfId="13023" xr:uid="{572A27F3-156F-4876-ADAF-A1528E05A7EC}"/>
    <cellStyle name="40% - Accent4 2 3 8" xfId="8805" xr:uid="{6A5295A5-99EE-484C-986A-9CC0B4D5DF4B}"/>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86D53C7B-5095-4BBD-BAD5-7C786FBF1851}"/>
    <cellStyle name="40% - Accent4 2 4 2 3" xfId="11361" xr:uid="{3545C316-3435-4DC3-96F9-B21E59D8F789}"/>
    <cellStyle name="40% - Accent4 2 4 3" xfId="4992" xr:uid="{00000000-0005-0000-0000-0000E2050000}"/>
    <cellStyle name="40% - Accent4 2 4 3 2" xfId="13434" xr:uid="{73A0FD00-06EF-4946-863D-96F72F4DEE75}"/>
    <cellStyle name="40% - Accent4 2 4 4" xfId="9216" xr:uid="{EF8BE979-2628-43C4-8A6F-3D1EF9E0D099}"/>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C690EA7F-E4A5-47DB-9788-0C034508D4FE}"/>
    <cellStyle name="40% - Accent4 2 5 2 3" xfId="11774" xr:uid="{A48E0CB6-A54B-4220-8130-1EBE8DAA8BE9}"/>
    <cellStyle name="40% - Accent4 2 5 3" xfId="5405" xr:uid="{00000000-0005-0000-0000-0000E6050000}"/>
    <cellStyle name="40% - Accent4 2 5 3 2" xfId="13847" xr:uid="{23DFC3CA-FB5C-4B16-A99E-53D3C1BDBD43}"/>
    <cellStyle name="40% - Accent4 2 5 4" xfId="9629" xr:uid="{FF796E21-0486-447F-9D90-975A0386FF47}"/>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62B1C0EE-7E31-4079-A215-74A117DE468E}"/>
    <cellStyle name="40% - Accent4 2 6 2 3" xfId="12187" xr:uid="{96560372-8917-4244-9838-D11D061C8AC0}"/>
    <cellStyle name="40% - Accent4 2 6 3" xfId="5818" xr:uid="{00000000-0005-0000-0000-0000EA050000}"/>
    <cellStyle name="40% - Accent4 2 6 3 2" xfId="14260" xr:uid="{C78A77BB-6E8C-48EF-940A-EE58CB82F31B}"/>
    <cellStyle name="40% - Accent4 2 6 4" xfId="10042" xr:uid="{F2EA2C3E-07A8-4153-B6E2-226D7D2C7FE6}"/>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66B63032-4EE8-4FA1-B6FC-45896F395BBC}"/>
    <cellStyle name="40% - Accent4 2 7 2 3" xfId="12600" xr:uid="{F89CADDC-6EEF-4DF6-8B02-24A8D542CD63}"/>
    <cellStyle name="40% - Accent4 2 7 3" xfId="6231" xr:uid="{00000000-0005-0000-0000-0000EE050000}"/>
    <cellStyle name="40% - Accent4 2 7 3 2" xfId="14673" xr:uid="{587E830C-47F8-4137-9B7F-791515C38B83}"/>
    <cellStyle name="40% - Accent4 2 7 4" xfId="10455" xr:uid="{AEF7B12B-E973-4969-A280-1B63382F1903}"/>
    <cellStyle name="40% - Accent4 2 8" xfId="2337" xr:uid="{00000000-0005-0000-0000-0000EF050000}"/>
    <cellStyle name="40% - Accent4 2 8 2" xfId="6644" xr:uid="{00000000-0005-0000-0000-0000F0050000}"/>
    <cellStyle name="40% - Accent4 2 8 2 2" xfId="15086" xr:uid="{A4EB3219-B215-48AE-B5D3-BCD9924FE422}"/>
    <cellStyle name="40% - Accent4 2 8 3" xfId="10868" xr:uid="{BAED4E89-D155-4478-9012-0E8A46D57389}"/>
    <cellStyle name="40% - Accent4 2 9" xfId="4578" xr:uid="{00000000-0005-0000-0000-0000F1050000}"/>
    <cellStyle name="40% - Accent4 2 9 2" xfId="13020" xr:uid="{582B723B-2D2B-44B2-A84C-36DE7C87874B}"/>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F8767321-C603-4EA4-8675-844395D71071}"/>
    <cellStyle name="40% - Accent4 3 2 2 2 3" xfId="11366" xr:uid="{96B55720-CEA3-479E-BD44-B3A14A6E3C5E}"/>
    <cellStyle name="40% - Accent4 3 2 2 3" xfId="4997" xr:uid="{00000000-0005-0000-0000-0000F7050000}"/>
    <cellStyle name="40% - Accent4 3 2 2 3 2" xfId="13439" xr:uid="{4C5FAE2A-0190-4744-AE82-6F8AD4D99D6F}"/>
    <cellStyle name="40% - Accent4 3 2 2 4" xfId="9221" xr:uid="{1537BFF1-B2FD-4AA8-9566-7526FBD0B92B}"/>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25FF2B6E-CAFC-4334-B975-0BC3085399D6}"/>
    <cellStyle name="40% - Accent4 3 2 3 2 3" xfId="11779" xr:uid="{C68E8272-9930-4709-99D5-19A132A3581F}"/>
    <cellStyle name="40% - Accent4 3 2 3 3" xfId="5410" xr:uid="{00000000-0005-0000-0000-0000FB050000}"/>
    <cellStyle name="40% - Accent4 3 2 3 3 2" xfId="13852" xr:uid="{E1E0D807-08F8-4F7A-A90D-6C53C139D633}"/>
    <cellStyle name="40% - Accent4 3 2 3 4" xfId="9634" xr:uid="{B8696FFF-D657-46AB-8EAE-BB9864BF8D7B}"/>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32226808-ACDE-4ACC-AFE8-F88D45B576DC}"/>
    <cellStyle name="40% - Accent4 3 2 4 2 3" xfId="12192" xr:uid="{FA9A361B-A75F-4042-A5DE-ABE5B0C2B269}"/>
    <cellStyle name="40% - Accent4 3 2 4 3" xfId="5823" xr:uid="{00000000-0005-0000-0000-0000FF050000}"/>
    <cellStyle name="40% - Accent4 3 2 4 3 2" xfId="14265" xr:uid="{7709A8BA-6AE7-4EC1-9F98-3EBFEA557614}"/>
    <cellStyle name="40% - Accent4 3 2 4 4" xfId="10047" xr:uid="{629A18C6-7F2D-45F4-97CF-2864CC4DBC98}"/>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75286FAC-7B5E-45C4-AF43-8A709F64EA82}"/>
    <cellStyle name="40% - Accent4 3 2 5 2 3" xfId="12605" xr:uid="{2A241B9D-7101-4749-A098-5081CD59C7D8}"/>
    <cellStyle name="40% - Accent4 3 2 5 3" xfId="6236" xr:uid="{00000000-0005-0000-0000-000003060000}"/>
    <cellStyle name="40% - Accent4 3 2 5 3 2" xfId="14678" xr:uid="{4D44B58D-E339-419F-8341-BB4E47C5ADF7}"/>
    <cellStyle name="40% - Accent4 3 2 5 4" xfId="10460" xr:uid="{0EF83B12-8012-4C40-B2E2-A740BCC13AC0}"/>
    <cellStyle name="40% - Accent4 3 2 6" xfId="2342" xr:uid="{00000000-0005-0000-0000-000004060000}"/>
    <cellStyle name="40% - Accent4 3 2 6 2" xfId="6649" xr:uid="{00000000-0005-0000-0000-000005060000}"/>
    <cellStyle name="40% - Accent4 3 2 6 2 2" xfId="15091" xr:uid="{BB5C8FD2-BA00-43BC-B4CD-0B20167E5CEF}"/>
    <cellStyle name="40% - Accent4 3 2 6 3" xfId="10873" xr:uid="{E0FCA5A1-52ED-4BFF-BCB4-5F5ADE8DFBEC}"/>
    <cellStyle name="40% - Accent4 3 2 7" xfId="4583" xr:uid="{00000000-0005-0000-0000-000006060000}"/>
    <cellStyle name="40% - Accent4 3 2 7 2" xfId="13025" xr:uid="{5FD16580-0C82-4B87-AD33-C022FE792BC4}"/>
    <cellStyle name="40% - Accent4 3 2 8" xfId="8807" xr:uid="{DC543657-9E18-41C2-8020-9C6E9E599887}"/>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66595CC0-B5FB-44D0-A09E-412CE451F4E5}"/>
    <cellStyle name="40% - Accent4 3 3 2 3" xfId="11365" xr:uid="{60F5E7BF-56CF-4AFB-99D1-829B79B5A662}"/>
    <cellStyle name="40% - Accent4 3 3 3" xfId="4996" xr:uid="{00000000-0005-0000-0000-00000A060000}"/>
    <cellStyle name="40% - Accent4 3 3 3 2" xfId="13438" xr:uid="{E419EE25-2A9D-4239-A9F9-32909557A42E}"/>
    <cellStyle name="40% - Accent4 3 3 4" xfId="9220" xr:uid="{F93F9809-3A04-478F-8849-A673B00F0657}"/>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0F091C99-56D7-47FD-B245-A2B0F8BC00B6}"/>
    <cellStyle name="40% - Accent4 3 4 2 3" xfId="11778" xr:uid="{38467977-5A0F-4488-9C03-9E282F17D85E}"/>
    <cellStyle name="40% - Accent4 3 4 3" xfId="5409" xr:uid="{00000000-0005-0000-0000-00000E060000}"/>
    <cellStyle name="40% - Accent4 3 4 3 2" xfId="13851" xr:uid="{2110F063-1A06-43E3-A5BB-89ED5E1E1839}"/>
    <cellStyle name="40% - Accent4 3 4 4" xfId="9633" xr:uid="{34F1E733-6EA1-486D-9FDC-E223E01BED20}"/>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64A867E1-EB10-49CB-8E97-B312E901856C}"/>
    <cellStyle name="40% - Accent4 3 5 2 3" xfId="12191" xr:uid="{C3128000-A56F-4EAA-9F51-2AC9DC5A1D37}"/>
    <cellStyle name="40% - Accent4 3 5 3" xfId="5822" xr:uid="{00000000-0005-0000-0000-000012060000}"/>
    <cellStyle name="40% - Accent4 3 5 3 2" xfId="14264" xr:uid="{AC995545-A864-4470-8A59-08A939F6373D}"/>
    <cellStyle name="40% - Accent4 3 5 4" xfId="10046" xr:uid="{2D186CA3-9A3A-4084-86A4-F3238B508A8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B1DE92DE-8B54-4A75-BEE2-8C9B4D0A5F08}"/>
    <cellStyle name="40% - Accent4 3 6 2 3" xfId="12604" xr:uid="{AA23BAB1-45AF-43E0-BC35-76A243A1A24E}"/>
    <cellStyle name="40% - Accent4 3 6 3" xfId="6235" xr:uid="{00000000-0005-0000-0000-000016060000}"/>
    <cellStyle name="40% - Accent4 3 6 3 2" xfId="14677" xr:uid="{A2527456-4A94-47C9-B52D-F322374EB061}"/>
    <cellStyle name="40% - Accent4 3 6 4" xfId="10459" xr:uid="{ED6758FD-DCB9-40C1-8ED2-4467E2BB5BEF}"/>
    <cellStyle name="40% - Accent4 3 7" xfId="2341" xr:uid="{00000000-0005-0000-0000-000017060000}"/>
    <cellStyle name="40% - Accent4 3 7 2" xfId="6648" xr:uid="{00000000-0005-0000-0000-000018060000}"/>
    <cellStyle name="40% - Accent4 3 7 2 2" xfId="15090" xr:uid="{A6D48EC4-AC10-42A1-AE9A-FBFCAACD9567}"/>
    <cellStyle name="40% - Accent4 3 7 3" xfId="10872" xr:uid="{A5E1064C-7231-4D19-A5A5-F6FD8046DD50}"/>
    <cellStyle name="40% - Accent4 3 8" xfId="4582" xr:uid="{00000000-0005-0000-0000-000019060000}"/>
    <cellStyle name="40% - Accent4 3 8 2" xfId="13024" xr:uid="{AC8E8234-9F98-4591-8283-0ADD75D2DC2F}"/>
    <cellStyle name="40% - Accent4 3 9" xfId="8806" xr:uid="{97ED1323-A8B9-4E1D-A363-7C8809767102}"/>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8055ED1F-DDF1-4ADF-A8AB-49CFA2515E62}"/>
    <cellStyle name="40% - Accent4 4 2 2 3" xfId="11367" xr:uid="{0ED719C4-7D5E-4E57-86C7-E63CE2E33950}"/>
    <cellStyle name="40% - Accent4 4 2 3" xfId="4998" xr:uid="{00000000-0005-0000-0000-00001E060000}"/>
    <cellStyle name="40% - Accent4 4 2 3 2" xfId="13440" xr:uid="{14395EC3-44F0-4280-AC1F-29C720186C19}"/>
    <cellStyle name="40% - Accent4 4 2 4" xfId="9222" xr:uid="{81524974-17A0-44AC-B1D0-ED95A70CC47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65329F71-C5BC-4910-B2E8-ACD29E642EE3}"/>
    <cellStyle name="40% - Accent4 4 3 2 3" xfId="11780" xr:uid="{1F667D64-679C-4000-8373-0E16749AA568}"/>
    <cellStyle name="40% - Accent4 4 3 3" xfId="5411" xr:uid="{00000000-0005-0000-0000-000022060000}"/>
    <cellStyle name="40% - Accent4 4 3 3 2" xfId="13853" xr:uid="{5F4286BB-C0AD-4287-8057-1675981BD470}"/>
    <cellStyle name="40% - Accent4 4 3 4" xfId="9635" xr:uid="{5EA19091-7E9F-41D8-B59D-EB58CF5F5194}"/>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C5FFA00F-FF5F-4505-8EF5-46CDD2B2497F}"/>
    <cellStyle name="40% - Accent4 4 4 2 3" xfId="12193" xr:uid="{79C75A50-25CF-47A7-8066-B7906D6B3C44}"/>
    <cellStyle name="40% - Accent4 4 4 3" xfId="5824" xr:uid="{00000000-0005-0000-0000-000026060000}"/>
    <cellStyle name="40% - Accent4 4 4 3 2" xfId="14266" xr:uid="{E3755A58-F190-4410-8C12-53D167A06CC8}"/>
    <cellStyle name="40% - Accent4 4 4 4" xfId="10048" xr:uid="{1E106E4A-9C0D-4346-9761-65F1E4B4F046}"/>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3A549218-DC9D-4063-9A06-6C7D16D3A2AD}"/>
    <cellStyle name="40% - Accent4 4 5 2 3" xfId="12606" xr:uid="{0FEA6DBF-8E59-4691-8C3A-3D4B8BA3B8F9}"/>
    <cellStyle name="40% - Accent4 4 5 3" xfId="6237" xr:uid="{00000000-0005-0000-0000-00002A060000}"/>
    <cellStyle name="40% - Accent4 4 5 3 2" xfId="14679" xr:uid="{526CC964-380A-4183-B4FC-30C195571925}"/>
    <cellStyle name="40% - Accent4 4 5 4" xfId="10461" xr:uid="{2A97031B-3554-4FEE-86EC-3F4090C2BA5E}"/>
    <cellStyle name="40% - Accent4 4 6" xfId="2343" xr:uid="{00000000-0005-0000-0000-00002B060000}"/>
    <cellStyle name="40% - Accent4 4 6 2" xfId="6650" xr:uid="{00000000-0005-0000-0000-00002C060000}"/>
    <cellStyle name="40% - Accent4 4 6 2 2" xfId="15092" xr:uid="{14CBFD66-56D6-4F50-A4AE-D08F89CB85B7}"/>
    <cellStyle name="40% - Accent4 4 6 3" xfId="10874" xr:uid="{6DF42C5E-E67A-4D12-899A-408ECF7194D0}"/>
    <cellStyle name="40% - Accent4 4 7" xfId="4584" xr:uid="{00000000-0005-0000-0000-00002D060000}"/>
    <cellStyle name="40% - Accent4 4 7 2" xfId="13026" xr:uid="{CF89F28C-189D-4784-B439-562324488F3C}"/>
    <cellStyle name="40% - Accent4 4 8" xfId="8808" xr:uid="{EC5A6325-1373-4467-9438-64DF208FBDDE}"/>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38F1B659-F134-47B9-A270-13CE49DA845A}"/>
    <cellStyle name="40% - Accent4 5 2 3" xfId="11360" xr:uid="{08B4592C-3FE4-4182-97BC-0AF97CFED1F7}"/>
    <cellStyle name="40% - Accent4 5 3" xfId="4991" xr:uid="{00000000-0005-0000-0000-000031060000}"/>
    <cellStyle name="40% - Accent4 5 3 2" xfId="13433" xr:uid="{0C099AC7-558D-4AB1-B42E-6FC25F5AA0B5}"/>
    <cellStyle name="40% - Accent4 5 4" xfId="9215" xr:uid="{0AA0B5CC-1961-4938-81DB-E188F2B03D84}"/>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610F8659-1230-42E8-8856-47AFA82BB69A}"/>
    <cellStyle name="40% - Accent4 6 2 3" xfId="11773" xr:uid="{A31BF699-5266-435A-BF97-C62722145558}"/>
    <cellStyle name="40% - Accent4 6 3" xfId="5404" xr:uid="{00000000-0005-0000-0000-000035060000}"/>
    <cellStyle name="40% - Accent4 6 3 2" xfId="13846" xr:uid="{00A36E83-35B9-48B1-BCC9-59D5B46B7FD9}"/>
    <cellStyle name="40% - Accent4 6 4" xfId="9628" xr:uid="{2309B8A9-8B04-4485-8EEB-6ABB6996E374}"/>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003DA039-02E8-4231-B39D-00EED55654BC}"/>
    <cellStyle name="40% - Accent4 7 2 3" xfId="12186" xr:uid="{2C30FDCA-93FC-47D9-AF50-403EB4E768F3}"/>
    <cellStyle name="40% - Accent4 7 3" xfId="5817" xr:uid="{00000000-0005-0000-0000-000039060000}"/>
    <cellStyle name="40% - Accent4 7 3 2" xfId="14259" xr:uid="{2E28B375-FEAA-432E-B7B6-432E040C36BE}"/>
    <cellStyle name="40% - Accent4 7 4" xfId="10041" xr:uid="{41A02452-769B-4248-8C48-BB61E384FCD8}"/>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1673D4CF-944D-4EC3-9CC5-CBF69B5A1C8B}"/>
    <cellStyle name="40% - Accent4 8 2 3" xfId="12599" xr:uid="{C796D70B-AF5D-4A35-AB7D-1149BD25E900}"/>
    <cellStyle name="40% - Accent4 8 3" xfId="6230" xr:uid="{00000000-0005-0000-0000-00003D060000}"/>
    <cellStyle name="40% - Accent4 8 3 2" xfId="14672" xr:uid="{F2533D13-281D-4425-9644-AACF4314E0F3}"/>
    <cellStyle name="40% - Accent4 8 4" xfId="10454" xr:uid="{33B03C21-6748-45FD-BF4B-7F96F6A07E63}"/>
    <cellStyle name="40% - Accent4 9" xfId="2336" xr:uid="{00000000-0005-0000-0000-00003E060000}"/>
    <cellStyle name="40% - Accent4 9 2" xfId="6643" xr:uid="{00000000-0005-0000-0000-00003F060000}"/>
    <cellStyle name="40% - Accent4 9 2 2" xfId="15085" xr:uid="{9F606B17-2E3C-44F1-A17D-BE3CB171038A}"/>
    <cellStyle name="40% - Accent4 9 3" xfId="10867" xr:uid="{6341ED19-AD54-4FEB-AD11-DE55506649B8}"/>
    <cellStyle name="40% - Accent5" xfId="81" builtinId="47" customBuiltin="1"/>
    <cellStyle name="40% - Accent5 10" xfId="4585" xr:uid="{00000000-0005-0000-0000-000041060000}"/>
    <cellStyle name="40% - Accent5 10 2" xfId="13027" xr:uid="{DEDD9C6D-0A01-40D9-8D1D-CC8E72AC03BD}"/>
    <cellStyle name="40% - Accent5 11" xfId="8809" xr:uid="{67EF9267-569C-4825-B34C-7DED6116C810}"/>
    <cellStyle name="40% - Accent5 2" xfId="82" xr:uid="{00000000-0005-0000-0000-000042060000}"/>
    <cellStyle name="40% - Accent5 2 10" xfId="8810" xr:uid="{72F8AC34-2229-48F5-8D7E-D0384AEC5D33}"/>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3E2F797C-53D3-415F-B0D4-2BE38CFB3C32}"/>
    <cellStyle name="40% - Accent5 2 2 2 2 2 3" xfId="11371" xr:uid="{9B0F78C2-92D8-464D-BB6B-DD3E4C15903C}"/>
    <cellStyle name="40% - Accent5 2 2 2 2 3" xfId="5002" xr:uid="{00000000-0005-0000-0000-000048060000}"/>
    <cellStyle name="40% - Accent5 2 2 2 2 3 2" xfId="13444" xr:uid="{D60CEEFF-9262-43D1-A27D-E134397247F2}"/>
    <cellStyle name="40% - Accent5 2 2 2 2 4" xfId="9226" xr:uid="{DB11F95D-E897-41EA-AA60-F14ABEC849FF}"/>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1DBD266E-DB1D-4D81-AC39-9FD70D934631}"/>
    <cellStyle name="40% - Accent5 2 2 2 3 2 3" xfId="11784" xr:uid="{FBA3C843-5F30-4AFC-9000-35B77E14B298}"/>
    <cellStyle name="40% - Accent5 2 2 2 3 3" xfId="5415" xr:uid="{00000000-0005-0000-0000-00004C060000}"/>
    <cellStyle name="40% - Accent5 2 2 2 3 3 2" xfId="13857" xr:uid="{F2E818A8-0C9A-411F-A884-860F658A6D6F}"/>
    <cellStyle name="40% - Accent5 2 2 2 3 4" xfId="9639" xr:uid="{FD5BF091-0580-4AFB-8D08-672DD3B6A94A}"/>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6B2E6D9D-7318-4C93-AF2C-96E8EA43F717}"/>
    <cellStyle name="40% - Accent5 2 2 2 4 2 3" xfId="12197" xr:uid="{8D3DCF75-B1A1-4BE9-BEE1-764139CA754A}"/>
    <cellStyle name="40% - Accent5 2 2 2 4 3" xfId="5828" xr:uid="{00000000-0005-0000-0000-000050060000}"/>
    <cellStyle name="40% - Accent5 2 2 2 4 3 2" xfId="14270" xr:uid="{FEDE91A1-F9AD-46E5-AE7E-6315C7D229F4}"/>
    <cellStyle name="40% - Accent5 2 2 2 4 4" xfId="10052" xr:uid="{E824855F-E201-4433-90E9-CF59ED7F7516}"/>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37E71F34-8124-4745-84BC-39ED948D8B12}"/>
    <cellStyle name="40% - Accent5 2 2 2 5 2 3" xfId="12610" xr:uid="{D042D4D6-CEBC-4A94-A0C8-7AEC323B0ED8}"/>
    <cellStyle name="40% - Accent5 2 2 2 5 3" xfId="6241" xr:uid="{00000000-0005-0000-0000-000054060000}"/>
    <cellStyle name="40% - Accent5 2 2 2 5 3 2" xfId="14683" xr:uid="{FF28B6C8-2122-4408-911D-842931C61CE6}"/>
    <cellStyle name="40% - Accent5 2 2 2 5 4" xfId="10465" xr:uid="{E3DBD27E-3A47-47F9-8154-76F5D4E748AC}"/>
    <cellStyle name="40% - Accent5 2 2 2 6" xfId="2347" xr:uid="{00000000-0005-0000-0000-000055060000}"/>
    <cellStyle name="40% - Accent5 2 2 2 6 2" xfId="6654" xr:uid="{00000000-0005-0000-0000-000056060000}"/>
    <cellStyle name="40% - Accent5 2 2 2 6 2 2" xfId="15096" xr:uid="{2CCA07A6-C49B-41B5-AAA7-C031740C8296}"/>
    <cellStyle name="40% - Accent5 2 2 2 6 3" xfId="10878" xr:uid="{F25729C1-4299-4716-8C7F-CD7AFEA3403B}"/>
    <cellStyle name="40% - Accent5 2 2 2 7" xfId="4588" xr:uid="{00000000-0005-0000-0000-000057060000}"/>
    <cellStyle name="40% - Accent5 2 2 2 7 2" xfId="13030" xr:uid="{354F4101-B98C-420C-A1BF-4CDCCBD6444A}"/>
    <cellStyle name="40% - Accent5 2 2 2 8" xfId="8812" xr:uid="{F70CDC66-ECC9-40CC-BD04-29AC05CEEDD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1924BA4A-5865-4770-AD21-7F497F29DFE0}"/>
    <cellStyle name="40% - Accent5 2 2 3 2 3" xfId="11370" xr:uid="{D2EA5360-72CD-4721-BD6B-C87BA181CE01}"/>
    <cellStyle name="40% - Accent5 2 2 3 3" xfId="5001" xr:uid="{00000000-0005-0000-0000-00005B060000}"/>
    <cellStyle name="40% - Accent5 2 2 3 3 2" xfId="13443" xr:uid="{A41BBEC5-7BC3-4DA2-9641-21FD19445D30}"/>
    <cellStyle name="40% - Accent5 2 2 3 4" xfId="9225" xr:uid="{75F35D8C-870A-4A69-BA0D-A6DB89748CB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6F026B76-10CD-49EB-8666-B69A111607D0}"/>
    <cellStyle name="40% - Accent5 2 2 4 2 3" xfId="11783" xr:uid="{B5F4277E-BD21-408A-8F55-29F4F93A70C9}"/>
    <cellStyle name="40% - Accent5 2 2 4 3" xfId="5414" xr:uid="{00000000-0005-0000-0000-00005F060000}"/>
    <cellStyle name="40% - Accent5 2 2 4 3 2" xfId="13856" xr:uid="{5D4428B7-0EEE-4FB4-96B0-B70473EA4C20}"/>
    <cellStyle name="40% - Accent5 2 2 4 4" xfId="9638" xr:uid="{78F4E55F-7102-4D8B-96CC-D53543F2143E}"/>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9A92FF5E-6F63-4BFC-82D5-9DA7208F0DD0}"/>
    <cellStyle name="40% - Accent5 2 2 5 2 3" xfId="12196" xr:uid="{062B0AD2-8BA3-410A-8E85-F21C3620988C}"/>
    <cellStyle name="40% - Accent5 2 2 5 3" xfId="5827" xr:uid="{00000000-0005-0000-0000-000063060000}"/>
    <cellStyle name="40% - Accent5 2 2 5 3 2" xfId="14269" xr:uid="{FDDB6CAF-1178-4A3B-AEEA-D2D6B3B1606D}"/>
    <cellStyle name="40% - Accent5 2 2 5 4" xfId="10051" xr:uid="{32B15BCE-A126-45DE-8E89-50CC1D0548E9}"/>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6A19315A-11BA-41B9-AC5B-4AA409A3A577}"/>
    <cellStyle name="40% - Accent5 2 2 6 2 3" xfId="12609" xr:uid="{67E7C362-F88C-4DD3-9BDD-5CBED0B1DF7E}"/>
    <cellStyle name="40% - Accent5 2 2 6 3" xfId="6240" xr:uid="{00000000-0005-0000-0000-000067060000}"/>
    <cellStyle name="40% - Accent5 2 2 6 3 2" xfId="14682" xr:uid="{DFDE2D91-B029-49FD-B1B9-3E0A76760FEF}"/>
    <cellStyle name="40% - Accent5 2 2 6 4" xfId="10464" xr:uid="{18FD7F32-0BE4-4D96-8028-87EF0CC6B2A8}"/>
    <cellStyle name="40% - Accent5 2 2 7" xfId="2346" xr:uid="{00000000-0005-0000-0000-000068060000}"/>
    <cellStyle name="40% - Accent5 2 2 7 2" xfId="6653" xr:uid="{00000000-0005-0000-0000-000069060000}"/>
    <cellStyle name="40% - Accent5 2 2 7 2 2" xfId="15095" xr:uid="{4E911A4B-3BA6-4C60-9E08-7B765CFB07B5}"/>
    <cellStyle name="40% - Accent5 2 2 7 3" xfId="10877" xr:uid="{C6A6EA24-5C5A-4F9D-9D21-28054B171AB6}"/>
    <cellStyle name="40% - Accent5 2 2 8" xfId="4587" xr:uid="{00000000-0005-0000-0000-00006A060000}"/>
    <cellStyle name="40% - Accent5 2 2 8 2" xfId="13029" xr:uid="{D21FD499-CBB0-4167-B0AE-52FA5FA3FA16}"/>
    <cellStyle name="40% - Accent5 2 2 9" xfId="8811" xr:uid="{839C46E9-E261-46F9-8680-F69151198685}"/>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61CD0A34-9977-49DC-B894-C4B47FAB7D21}"/>
    <cellStyle name="40% - Accent5 2 3 2 2 3" xfId="11372" xr:uid="{28E4B48D-5CCB-4C47-A96D-6621293056D9}"/>
    <cellStyle name="40% - Accent5 2 3 2 3" xfId="5003" xr:uid="{00000000-0005-0000-0000-00006F060000}"/>
    <cellStyle name="40% - Accent5 2 3 2 3 2" xfId="13445" xr:uid="{CB99DE96-E822-46E7-950C-042F265FF784}"/>
    <cellStyle name="40% - Accent5 2 3 2 4" xfId="9227" xr:uid="{B01F1C29-6BC9-4090-9F76-4A9745F63F44}"/>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BD4CCB74-D243-4922-8373-607A544ABE98}"/>
    <cellStyle name="40% - Accent5 2 3 3 2 3" xfId="11785" xr:uid="{5757F500-2E4C-405A-9950-B0519586647D}"/>
    <cellStyle name="40% - Accent5 2 3 3 3" xfId="5416" xr:uid="{00000000-0005-0000-0000-000073060000}"/>
    <cellStyle name="40% - Accent5 2 3 3 3 2" xfId="13858" xr:uid="{81AFE344-5AAB-4D04-AD37-88C411749A40}"/>
    <cellStyle name="40% - Accent5 2 3 3 4" xfId="9640" xr:uid="{B2C148A8-6BF3-4E96-9814-04F9480B8F9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F1E64523-05F8-48FC-9A08-76A7F7D8818D}"/>
    <cellStyle name="40% - Accent5 2 3 4 2 3" xfId="12198" xr:uid="{7C34D595-F06A-40FE-BB54-CD8B3FDE9BE9}"/>
    <cellStyle name="40% - Accent5 2 3 4 3" xfId="5829" xr:uid="{00000000-0005-0000-0000-000077060000}"/>
    <cellStyle name="40% - Accent5 2 3 4 3 2" xfId="14271" xr:uid="{BB61474D-90D7-40B6-8854-1D679F3B3548}"/>
    <cellStyle name="40% - Accent5 2 3 4 4" xfId="10053" xr:uid="{2BD071AC-644E-4F92-953C-6D3475775B58}"/>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7D19511E-00A4-41D5-8A91-FD22F964CD50}"/>
    <cellStyle name="40% - Accent5 2 3 5 2 3" xfId="12611" xr:uid="{39FCB45E-19FF-4784-9132-727373C99E55}"/>
    <cellStyle name="40% - Accent5 2 3 5 3" xfId="6242" xr:uid="{00000000-0005-0000-0000-00007B060000}"/>
    <cellStyle name="40% - Accent5 2 3 5 3 2" xfId="14684" xr:uid="{A62F8C1D-5CBD-49DA-BF91-ED3AB5C1374E}"/>
    <cellStyle name="40% - Accent5 2 3 5 4" xfId="10466" xr:uid="{596E3CCA-50A7-41CE-8D96-F24BD999F476}"/>
    <cellStyle name="40% - Accent5 2 3 6" xfId="2348" xr:uid="{00000000-0005-0000-0000-00007C060000}"/>
    <cellStyle name="40% - Accent5 2 3 6 2" xfId="6655" xr:uid="{00000000-0005-0000-0000-00007D060000}"/>
    <cellStyle name="40% - Accent5 2 3 6 2 2" xfId="15097" xr:uid="{B2047354-0BAF-4E14-9D13-026563A8403A}"/>
    <cellStyle name="40% - Accent5 2 3 6 3" xfId="10879" xr:uid="{022C430A-53B1-47FF-9C19-532281558787}"/>
    <cellStyle name="40% - Accent5 2 3 7" xfId="4589" xr:uid="{00000000-0005-0000-0000-00007E060000}"/>
    <cellStyle name="40% - Accent5 2 3 7 2" xfId="13031" xr:uid="{523D1FFA-DC24-4189-A5F0-8E5745C3EC45}"/>
    <cellStyle name="40% - Accent5 2 3 8" xfId="8813" xr:uid="{01D62FB8-2ADC-42C6-B59A-43EF464D1BCC}"/>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4C753B16-4044-482A-AC26-641C1564A18E}"/>
    <cellStyle name="40% - Accent5 2 4 2 3" xfId="11369" xr:uid="{9BD69F5D-F790-4CE2-AF1D-DFFB7C8B1731}"/>
    <cellStyle name="40% - Accent5 2 4 3" xfId="5000" xr:uid="{00000000-0005-0000-0000-000082060000}"/>
    <cellStyle name="40% - Accent5 2 4 3 2" xfId="13442" xr:uid="{38D06E4D-4D2C-4A57-B83F-741DE6CE5AB7}"/>
    <cellStyle name="40% - Accent5 2 4 4" xfId="9224" xr:uid="{06CC0CF7-22E9-4D4F-B3A9-D277FD912BB1}"/>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0444E72D-7B1F-4100-9EA2-4C014CFF083C}"/>
    <cellStyle name="40% - Accent5 2 5 2 3" xfId="11782" xr:uid="{BE3F7DF5-80DA-44DF-B286-0662194FCBC3}"/>
    <cellStyle name="40% - Accent5 2 5 3" xfId="5413" xr:uid="{00000000-0005-0000-0000-000086060000}"/>
    <cellStyle name="40% - Accent5 2 5 3 2" xfId="13855" xr:uid="{9BD615A7-C6D0-428D-8A09-6F45180119DC}"/>
    <cellStyle name="40% - Accent5 2 5 4" xfId="9637" xr:uid="{E2E80BC7-A29B-48C3-B685-C69ECF440BA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ED97A0DA-C338-4467-A9AD-B5AAC23CC85A}"/>
    <cellStyle name="40% - Accent5 2 6 2 3" xfId="12195" xr:uid="{A8800E04-AA10-4FE5-BF38-22C76A7E6C71}"/>
    <cellStyle name="40% - Accent5 2 6 3" xfId="5826" xr:uid="{00000000-0005-0000-0000-00008A060000}"/>
    <cellStyle name="40% - Accent5 2 6 3 2" xfId="14268" xr:uid="{0CF92476-10CF-4A8F-A394-778E012691E9}"/>
    <cellStyle name="40% - Accent5 2 6 4" xfId="10050" xr:uid="{AC3AA1B2-E85A-437C-964C-E7DE573F2B19}"/>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F05FFCE4-8788-4557-A1DD-749C3E015543}"/>
    <cellStyle name="40% - Accent5 2 7 2 3" xfId="12608" xr:uid="{28FB4BF0-BE91-42F3-AB44-1B7EB8D499D2}"/>
    <cellStyle name="40% - Accent5 2 7 3" xfId="6239" xr:uid="{00000000-0005-0000-0000-00008E060000}"/>
    <cellStyle name="40% - Accent5 2 7 3 2" xfId="14681" xr:uid="{ED3F3B61-7CDE-4774-A8D8-1558A43F6784}"/>
    <cellStyle name="40% - Accent5 2 7 4" xfId="10463" xr:uid="{E68E4035-5428-474E-87F8-B73CDAFADE7A}"/>
    <cellStyle name="40% - Accent5 2 8" xfId="2345" xr:uid="{00000000-0005-0000-0000-00008F060000}"/>
    <cellStyle name="40% - Accent5 2 8 2" xfId="6652" xr:uid="{00000000-0005-0000-0000-000090060000}"/>
    <cellStyle name="40% - Accent5 2 8 2 2" xfId="15094" xr:uid="{1C76BE04-77A6-4EAA-8BF5-FC8683068674}"/>
    <cellStyle name="40% - Accent5 2 8 3" xfId="10876" xr:uid="{CBFC54DF-6965-4F3B-B38F-CBE5E90EDAD6}"/>
    <cellStyle name="40% - Accent5 2 9" xfId="4586" xr:uid="{00000000-0005-0000-0000-000091060000}"/>
    <cellStyle name="40% - Accent5 2 9 2" xfId="13028" xr:uid="{9D75291B-5D0F-458F-8E76-7C1EE02A199A}"/>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19EE2DDC-2C97-48C7-BF36-AF4CD14C1844}"/>
    <cellStyle name="40% - Accent5 3 2 2 2 3" xfId="11374" xr:uid="{4B51BC6F-CD6E-4365-BAD4-74C3505CBA63}"/>
    <cellStyle name="40% - Accent5 3 2 2 3" xfId="5005" xr:uid="{00000000-0005-0000-0000-000097060000}"/>
    <cellStyle name="40% - Accent5 3 2 2 3 2" xfId="13447" xr:uid="{3932EA8B-16F0-48B8-AF33-065D6372470B}"/>
    <cellStyle name="40% - Accent5 3 2 2 4" xfId="9229" xr:uid="{F1E56008-B697-46E3-A4A6-0AE96DD7D0FC}"/>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A35665CF-101E-4853-A882-2B435711572B}"/>
    <cellStyle name="40% - Accent5 3 2 3 2 3" xfId="11787" xr:uid="{FA282935-085B-42CB-9381-0D30E41F8D91}"/>
    <cellStyle name="40% - Accent5 3 2 3 3" xfId="5418" xr:uid="{00000000-0005-0000-0000-00009B060000}"/>
    <cellStyle name="40% - Accent5 3 2 3 3 2" xfId="13860" xr:uid="{F7581666-102C-4477-B570-3572EE7DB61C}"/>
    <cellStyle name="40% - Accent5 3 2 3 4" xfId="9642" xr:uid="{4B3ABB46-F1DD-4E8B-8BA1-850C0F723CB3}"/>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CED64C86-2706-4001-A751-AEEE7AE88E6E}"/>
    <cellStyle name="40% - Accent5 3 2 4 2 3" xfId="12200" xr:uid="{1247F23B-17C8-4CDD-BCD8-0080E4AED3D1}"/>
    <cellStyle name="40% - Accent5 3 2 4 3" xfId="5831" xr:uid="{00000000-0005-0000-0000-00009F060000}"/>
    <cellStyle name="40% - Accent5 3 2 4 3 2" xfId="14273" xr:uid="{7C90728F-25D8-4ADD-BCAB-91D0077ECAD9}"/>
    <cellStyle name="40% - Accent5 3 2 4 4" xfId="10055" xr:uid="{3C8B70EC-E27B-4CA2-A5F4-33F457B31DB3}"/>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910BA2F-1CC2-46C2-998B-DD912B5B4025}"/>
    <cellStyle name="40% - Accent5 3 2 5 2 3" xfId="12613" xr:uid="{9E34E89A-6D4C-4DE5-9F9D-FFB7A59F872B}"/>
    <cellStyle name="40% - Accent5 3 2 5 3" xfId="6244" xr:uid="{00000000-0005-0000-0000-0000A3060000}"/>
    <cellStyle name="40% - Accent5 3 2 5 3 2" xfId="14686" xr:uid="{C4A9307F-96B4-4F2B-A0C1-468875AABD3F}"/>
    <cellStyle name="40% - Accent5 3 2 5 4" xfId="10468" xr:uid="{F71D8033-8E32-4F61-B1DC-03E840897282}"/>
    <cellStyle name="40% - Accent5 3 2 6" xfId="2350" xr:uid="{00000000-0005-0000-0000-0000A4060000}"/>
    <cellStyle name="40% - Accent5 3 2 6 2" xfId="6657" xr:uid="{00000000-0005-0000-0000-0000A5060000}"/>
    <cellStyle name="40% - Accent5 3 2 6 2 2" xfId="15099" xr:uid="{D072908E-33AA-4CC3-9D15-353A2FD5418F}"/>
    <cellStyle name="40% - Accent5 3 2 6 3" xfId="10881" xr:uid="{41A58F19-2A27-47BA-A1A0-6577D5D1874D}"/>
    <cellStyle name="40% - Accent5 3 2 7" xfId="4591" xr:uid="{00000000-0005-0000-0000-0000A6060000}"/>
    <cellStyle name="40% - Accent5 3 2 7 2" xfId="13033" xr:uid="{8DC645FB-7F6C-4AD9-8395-8CA9023F5DCF}"/>
    <cellStyle name="40% - Accent5 3 2 8" xfId="8815" xr:uid="{CC5DF92B-6A3B-4B65-A247-D8B803AA95B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3470CB9A-760D-499F-978A-9E7ADBDDEE6B}"/>
    <cellStyle name="40% - Accent5 3 3 2 3" xfId="11373" xr:uid="{8F89747B-FFB9-4152-8A74-4D7B4302A135}"/>
    <cellStyle name="40% - Accent5 3 3 3" xfId="5004" xr:uid="{00000000-0005-0000-0000-0000AA060000}"/>
    <cellStyle name="40% - Accent5 3 3 3 2" xfId="13446" xr:uid="{39F214E6-D8D5-4AF7-8F18-17FCE59C6E99}"/>
    <cellStyle name="40% - Accent5 3 3 4" xfId="9228" xr:uid="{DB74BD3C-1101-41B7-9E58-89A819BCD69E}"/>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7C911F61-4AC0-4528-8316-FBEB69586C7B}"/>
    <cellStyle name="40% - Accent5 3 4 2 3" xfId="11786" xr:uid="{4C4380DF-D5A1-40F5-8716-1500D0FA1522}"/>
    <cellStyle name="40% - Accent5 3 4 3" xfId="5417" xr:uid="{00000000-0005-0000-0000-0000AE060000}"/>
    <cellStyle name="40% - Accent5 3 4 3 2" xfId="13859" xr:uid="{FBC6EF1A-CECA-41D6-A28E-99D5609A6E03}"/>
    <cellStyle name="40% - Accent5 3 4 4" xfId="9641" xr:uid="{77E524E8-985F-410C-9B21-22967BA4CDAD}"/>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5003192B-8678-454C-808D-58C7E84FAB4B}"/>
    <cellStyle name="40% - Accent5 3 5 2 3" xfId="12199" xr:uid="{02F728F9-EF3F-44F1-80D3-D72490259995}"/>
    <cellStyle name="40% - Accent5 3 5 3" xfId="5830" xr:uid="{00000000-0005-0000-0000-0000B2060000}"/>
    <cellStyle name="40% - Accent5 3 5 3 2" xfId="14272" xr:uid="{525D13FC-3DD4-4EFA-9593-CEAD2040A638}"/>
    <cellStyle name="40% - Accent5 3 5 4" xfId="10054" xr:uid="{AD80CB57-79DB-46C2-80A6-0D4211625B75}"/>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F99A2BB2-D2BE-4D02-85C7-1E33940A9F20}"/>
    <cellStyle name="40% - Accent5 3 6 2 3" xfId="12612" xr:uid="{89A23400-7661-4511-A04D-F82B7289AAFE}"/>
    <cellStyle name="40% - Accent5 3 6 3" xfId="6243" xr:uid="{00000000-0005-0000-0000-0000B6060000}"/>
    <cellStyle name="40% - Accent5 3 6 3 2" xfId="14685" xr:uid="{E484CFF4-EA29-47DE-B259-F41B09EE1FAD}"/>
    <cellStyle name="40% - Accent5 3 6 4" xfId="10467" xr:uid="{E1CA60AF-F7C5-471B-9556-F9DF98C659C0}"/>
    <cellStyle name="40% - Accent5 3 7" xfId="2349" xr:uid="{00000000-0005-0000-0000-0000B7060000}"/>
    <cellStyle name="40% - Accent5 3 7 2" xfId="6656" xr:uid="{00000000-0005-0000-0000-0000B8060000}"/>
    <cellStyle name="40% - Accent5 3 7 2 2" xfId="15098" xr:uid="{2BD840CB-00DB-480B-BCDB-7AB4EC022E57}"/>
    <cellStyle name="40% - Accent5 3 7 3" xfId="10880" xr:uid="{A60CB070-2536-4FAD-9437-F2A130B05BF5}"/>
    <cellStyle name="40% - Accent5 3 8" xfId="4590" xr:uid="{00000000-0005-0000-0000-0000B9060000}"/>
    <cellStyle name="40% - Accent5 3 8 2" xfId="13032" xr:uid="{ED729C0D-3032-43E5-AE0E-5235D5F763FE}"/>
    <cellStyle name="40% - Accent5 3 9" xfId="8814" xr:uid="{BD66D169-C2E9-4FA8-A5B9-EE89AD226576}"/>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68363620-0FEB-445B-81DC-E548528D81D4}"/>
    <cellStyle name="40% - Accent5 4 2 2 3" xfId="11375" xr:uid="{6DD706F4-CD08-427C-8B74-DA142BD62260}"/>
    <cellStyle name="40% - Accent5 4 2 3" xfId="5006" xr:uid="{00000000-0005-0000-0000-0000BE060000}"/>
    <cellStyle name="40% - Accent5 4 2 3 2" xfId="13448" xr:uid="{55142D07-3B58-41FC-96B2-EF095EA45D0F}"/>
    <cellStyle name="40% - Accent5 4 2 4" xfId="9230" xr:uid="{1B1CBEEC-DD9E-4DFD-B732-936A86B267D3}"/>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54F55074-C77B-4081-B75F-2AF48B33D29A}"/>
    <cellStyle name="40% - Accent5 4 3 2 3" xfId="11788" xr:uid="{D336503F-876C-4C01-BEF8-FF5A336CCE70}"/>
    <cellStyle name="40% - Accent5 4 3 3" xfId="5419" xr:uid="{00000000-0005-0000-0000-0000C2060000}"/>
    <cellStyle name="40% - Accent5 4 3 3 2" xfId="13861" xr:uid="{90EF97AC-EC67-428C-8AFE-6DF1EB3E0403}"/>
    <cellStyle name="40% - Accent5 4 3 4" xfId="9643" xr:uid="{6C333BFB-00FC-423D-AE0B-EF7DC50962F5}"/>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FDB2BA6F-0FE6-432A-ABAB-5F51885D78B6}"/>
    <cellStyle name="40% - Accent5 4 4 2 3" xfId="12201" xr:uid="{2712EA93-1AD9-4B60-9745-FDD92DBC2E34}"/>
    <cellStyle name="40% - Accent5 4 4 3" xfId="5832" xr:uid="{00000000-0005-0000-0000-0000C6060000}"/>
    <cellStyle name="40% - Accent5 4 4 3 2" xfId="14274" xr:uid="{2AE509CA-F197-4D8C-B73B-ABB21C758FA3}"/>
    <cellStyle name="40% - Accent5 4 4 4" xfId="10056" xr:uid="{25D9D9F2-1BBE-40A1-9484-368BA2CD280A}"/>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7ABE9D5F-F9CE-4BB9-B8B7-63E738916922}"/>
    <cellStyle name="40% - Accent5 4 5 2 3" xfId="12614" xr:uid="{9CB448CF-8053-40CA-807F-3C0E64A85DA3}"/>
    <cellStyle name="40% - Accent5 4 5 3" xfId="6245" xr:uid="{00000000-0005-0000-0000-0000CA060000}"/>
    <cellStyle name="40% - Accent5 4 5 3 2" xfId="14687" xr:uid="{182EFDF3-2923-4D6C-A484-ABF4665F5F08}"/>
    <cellStyle name="40% - Accent5 4 5 4" xfId="10469" xr:uid="{4D57A4D2-67F3-44DB-9A24-B88CAE95244A}"/>
    <cellStyle name="40% - Accent5 4 6" xfId="2351" xr:uid="{00000000-0005-0000-0000-0000CB060000}"/>
    <cellStyle name="40% - Accent5 4 6 2" xfId="6658" xr:uid="{00000000-0005-0000-0000-0000CC060000}"/>
    <cellStyle name="40% - Accent5 4 6 2 2" xfId="15100" xr:uid="{7300EEDE-5766-4E00-8A8A-A1B0D931FA8A}"/>
    <cellStyle name="40% - Accent5 4 6 3" xfId="10882" xr:uid="{278E2F3B-9A31-48E3-87C1-B5493DA390FC}"/>
    <cellStyle name="40% - Accent5 4 7" xfId="4592" xr:uid="{00000000-0005-0000-0000-0000CD060000}"/>
    <cellStyle name="40% - Accent5 4 7 2" xfId="13034" xr:uid="{3A2DC94E-E53E-4E53-BAD2-87C82D0597D9}"/>
    <cellStyle name="40% - Accent5 4 8" xfId="8816" xr:uid="{0169066D-7562-433A-8894-A54BABFDC304}"/>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15B8B94C-533F-4586-9D7B-3A017427C872}"/>
    <cellStyle name="40% - Accent5 5 2 3" xfId="11368" xr:uid="{91AAE752-7254-4360-852A-B5720844A9D9}"/>
    <cellStyle name="40% - Accent5 5 3" xfId="4999" xr:uid="{00000000-0005-0000-0000-0000D1060000}"/>
    <cellStyle name="40% - Accent5 5 3 2" xfId="13441" xr:uid="{E7130DBF-5706-431C-9E0E-1E3102DAAD70}"/>
    <cellStyle name="40% - Accent5 5 4" xfId="9223" xr:uid="{66D097E3-60A0-4B1B-A399-C395C6C36BCD}"/>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4380461-82FC-49D9-BA82-32A3F483E47D}"/>
    <cellStyle name="40% - Accent5 6 2 3" xfId="11781" xr:uid="{9FD74C6A-F530-40A5-AFAB-F614F1464734}"/>
    <cellStyle name="40% - Accent5 6 3" xfId="5412" xr:uid="{00000000-0005-0000-0000-0000D5060000}"/>
    <cellStyle name="40% - Accent5 6 3 2" xfId="13854" xr:uid="{92788DF9-4B86-4995-92AF-1F956DAA5412}"/>
    <cellStyle name="40% - Accent5 6 4" xfId="9636" xr:uid="{AED186A7-5164-43D8-87F7-1AE8B4F14F07}"/>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D42B77B4-305D-4302-8BFD-2B103620B83C}"/>
    <cellStyle name="40% - Accent5 7 2 3" xfId="12194" xr:uid="{D252E4BA-DE05-4E1A-A057-5FE1B51C81CD}"/>
    <cellStyle name="40% - Accent5 7 3" xfId="5825" xr:uid="{00000000-0005-0000-0000-0000D9060000}"/>
    <cellStyle name="40% - Accent5 7 3 2" xfId="14267" xr:uid="{97065D65-C23F-4832-8CC5-A9D0D1855951}"/>
    <cellStyle name="40% - Accent5 7 4" xfId="10049" xr:uid="{546C6D8C-4931-40DA-AF5A-B7A96C4485F9}"/>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F299B2C5-6D33-4A19-B130-5A821BC1FFE3}"/>
    <cellStyle name="40% - Accent5 8 2 3" xfId="12607" xr:uid="{433BE984-8D8E-44E1-9D52-5A6D29F10F38}"/>
    <cellStyle name="40% - Accent5 8 3" xfId="6238" xr:uid="{00000000-0005-0000-0000-0000DD060000}"/>
    <cellStyle name="40% - Accent5 8 3 2" xfId="14680" xr:uid="{868FB366-2EB2-4909-9160-7B87AC7700E8}"/>
    <cellStyle name="40% - Accent5 8 4" xfId="10462" xr:uid="{BB7A40EE-A800-4A26-8143-CEEB17AE7018}"/>
    <cellStyle name="40% - Accent5 9" xfId="2344" xr:uid="{00000000-0005-0000-0000-0000DE060000}"/>
    <cellStyle name="40% - Accent5 9 2" xfId="6651" xr:uid="{00000000-0005-0000-0000-0000DF060000}"/>
    <cellStyle name="40% - Accent5 9 2 2" xfId="15093" xr:uid="{86FA34C0-A99E-4B39-B042-65FB731ECFCF}"/>
    <cellStyle name="40% - Accent5 9 3" xfId="10875" xr:uid="{BBAB380C-6F90-4D2A-A96D-658EA0D29231}"/>
    <cellStyle name="40% - Accent6" xfId="89" builtinId="51" customBuiltin="1"/>
    <cellStyle name="40% - Accent6 10" xfId="4593" xr:uid="{00000000-0005-0000-0000-0000E1060000}"/>
    <cellStyle name="40% - Accent6 10 2" xfId="13035" xr:uid="{D1AAFA4E-732B-42CC-8A20-B2CA90FA6A75}"/>
    <cellStyle name="40% - Accent6 11" xfId="8817" xr:uid="{CB442B32-3A1D-4F7B-B190-35FE935D4034}"/>
    <cellStyle name="40% - Accent6 2" xfId="90" xr:uid="{00000000-0005-0000-0000-0000E2060000}"/>
    <cellStyle name="40% - Accent6 2 10" xfId="8818" xr:uid="{1DA7CE7F-11D6-4A07-8CB5-379BBE22A61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30209307-D8BB-4464-9EFE-B30F5DD481DC}"/>
    <cellStyle name="40% - Accent6 2 2 2 2 2 3" xfId="11379" xr:uid="{6AF7E09A-1D99-4D84-B490-A3F488D47E3F}"/>
    <cellStyle name="40% - Accent6 2 2 2 2 3" xfId="5010" xr:uid="{00000000-0005-0000-0000-0000E8060000}"/>
    <cellStyle name="40% - Accent6 2 2 2 2 3 2" xfId="13452" xr:uid="{2EDB2661-5EE3-4597-9F77-B0614D1B502C}"/>
    <cellStyle name="40% - Accent6 2 2 2 2 4" xfId="9234" xr:uid="{602E76B2-3DF8-46E5-BDF5-CF60043047E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514173E8-C2DB-4C63-A2AE-5E229C8D94E0}"/>
    <cellStyle name="40% - Accent6 2 2 2 3 2 3" xfId="11792" xr:uid="{43EE8B08-47D2-4E60-B46C-08AB12506A21}"/>
    <cellStyle name="40% - Accent6 2 2 2 3 3" xfId="5423" xr:uid="{00000000-0005-0000-0000-0000EC060000}"/>
    <cellStyle name="40% - Accent6 2 2 2 3 3 2" xfId="13865" xr:uid="{6E7013BB-CF31-4C22-BA93-CB2572CFB175}"/>
    <cellStyle name="40% - Accent6 2 2 2 3 4" xfId="9647" xr:uid="{4BEA71D3-BC5A-4A6F-9A36-E13EA9519BC4}"/>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F7FC0CFB-6544-417C-B272-9CC132AA6824}"/>
    <cellStyle name="40% - Accent6 2 2 2 4 2 3" xfId="12205" xr:uid="{E55F4662-FC00-496B-AD63-8A72190977EA}"/>
    <cellStyle name="40% - Accent6 2 2 2 4 3" xfId="5836" xr:uid="{00000000-0005-0000-0000-0000F0060000}"/>
    <cellStyle name="40% - Accent6 2 2 2 4 3 2" xfId="14278" xr:uid="{FDF1F087-8B0E-4196-8BA9-625FF76691BA}"/>
    <cellStyle name="40% - Accent6 2 2 2 4 4" xfId="10060" xr:uid="{B4777E0D-FDDD-442B-BD7B-1E421A757AF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CD3B3FBC-B36D-4C16-B801-55D9F516CD22}"/>
    <cellStyle name="40% - Accent6 2 2 2 5 2 3" xfId="12618" xr:uid="{01AFE5C7-BAE0-4F9F-B9B1-4B6E66084B45}"/>
    <cellStyle name="40% - Accent6 2 2 2 5 3" xfId="6249" xr:uid="{00000000-0005-0000-0000-0000F4060000}"/>
    <cellStyle name="40% - Accent6 2 2 2 5 3 2" xfId="14691" xr:uid="{B2F242C4-4D5C-4F55-AC51-AEB2A499A8F3}"/>
    <cellStyle name="40% - Accent6 2 2 2 5 4" xfId="10473" xr:uid="{2C9AF4FC-5E4A-45A6-9A49-209BA7ADF408}"/>
    <cellStyle name="40% - Accent6 2 2 2 6" xfId="2355" xr:uid="{00000000-0005-0000-0000-0000F5060000}"/>
    <cellStyle name="40% - Accent6 2 2 2 6 2" xfId="6662" xr:uid="{00000000-0005-0000-0000-0000F6060000}"/>
    <cellStyle name="40% - Accent6 2 2 2 6 2 2" xfId="15104" xr:uid="{6ED1FEB7-7982-40EF-AE33-B50D7E247EEE}"/>
    <cellStyle name="40% - Accent6 2 2 2 6 3" xfId="10886" xr:uid="{447494BA-62E9-46D6-93C5-DE785B20E55F}"/>
    <cellStyle name="40% - Accent6 2 2 2 7" xfId="4596" xr:uid="{00000000-0005-0000-0000-0000F7060000}"/>
    <cellStyle name="40% - Accent6 2 2 2 7 2" xfId="13038" xr:uid="{49D50DC3-5146-48D7-8EF6-3D4651BAFE91}"/>
    <cellStyle name="40% - Accent6 2 2 2 8" xfId="8820" xr:uid="{F1320C30-901D-4635-AAB0-160E317A5DE6}"/>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ACF0DDF4-4BFA-42C6-87FE-99E75FF11823}"/>
    <cellStyle name="40% - Accent6 2 2 3 2 3" xfId="11378" xr:uid="{AA4D35E5-6F11-428D-B7E6-BB80C0C772FA}"/>
    <cellStyle name="40% - Accent6 2 2 3 3" xfId="5009" xr:uid="{00000000-0005-0000-0000-0000FB060000}"/>
    <cellStyle name="40% - Accent6 2 2 3 3 2" xfId="13451" xr:uid="{96814FBE-A612-4B88-A6C7-1DE32F05B7F8}"/>
    <cellStyle name="40% - Accent6 2 2 3 4" xfId="9233" xr:uid="{132E3061-6E8A-4D49-818B-500BABDF0594}"/>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9B26E414-0C8B-4AFC-8A7C-9FCFB8600E2F}"/>
    <cellStyle name="40% - Accent6 2 2 4 2 3" xfId="11791" xr:uid="{D0685D17-BD51-4946-9DC4-7018C35B035A}"/>
    <cellStyle name="40% - Accent6 2 2 4 3" xfId="5422" xr:uid="{00000000-0005-0000-0000-0000FF060000}"/>
    <cellStyle name="40% - Accent6 2 2 4 3 2" xfId="13864" xr:uid="{038FE6F5-4E33-40B4-8E30-A31191AC7070}"/>
    <cellStyle name="40% - Accent6 2 2 4 4" xfId="9646" xr:uid="{0FAC9315-984B-4AA9-94ED-77F1598525BC}"/>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FA7AEB99-20D8-419E-823D-C3293B465F1E}"/>
    <cellStyle name="40% - Accent6 2 2 5 2 3" xfId="12204" xr:uid="{52C3D16C-C3D4-414F-9D67-170252AFCB65}"/>
    <cellStyle name="40% - Accent6 2 2 5 3" xfId="5835" xr:uid="{00000000-0005-0000-0000-000003070000}"/>
    <cellStyle name="40% - Accent6 2 2 5 3 2" xfId="14277" xr:uid="{32CD1F72-E302-4020-9EF5-51342DE9F2A3}"/>
    <cellStyle name="40% - Accent6 2 2 5 4" xfId="10059" xr:uid="{F8FE7783-009D-4C48-A63B-F6AD925D070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0EF20AB3-5419-46CE-AC1E-79A7BD50EFB8}"/>
    <cellStyle name="40% - Accent6 2 2 6 2 3" xfId="12617" xr:uid="{456A82A1-664A-44CB-9B47-088D50F82CBB}"/>
    <cellStyle name="40% - Accent6 2 2 6 3" xfId="6248" xr:uid="{00000000-0005-0000-0000-000007070000}"/>
    <cellStyle name="40% - Accent6 2 2 6 3 2" xfId="14690" xr:uid="{1B88B226-7A04-4FDC-A916-1DA9BBDD0DEF}"/>
    <cellStyle name="40% - Accent6 2 2 6 4" xfId="10472" xr:uid="{FA21D643-7FF1-4904-ADA7-7DC0ABCA8DA3}"/>
    <cellStyle name="40% - Accent6 2 2 7" xfId="2354" xr:uid="{00000000-0005-0000-0000-000008070000}"/>
    <cellStyle name="40% - Accent6 2 2 7 2" xfId="6661" xr:uid="{00000000-0005-0000-0000-000009070000}"/>
    <cellStyle name="40% - Accent6 2 2 7 2 2" xfId="15103" xr:uid="{7EE37CD5-CB82-4119-B525-597D86446438}"/>
    <cellStyle name="40% - Accent6 2 2 7 3" xfId="10885" xr:uid="{99FE444E-FB7F-4556-AC5C-97020FAAB8E7}"/>
    <cellStyle name="40% - Accent6 2 2 8" xfId="4595" xr:uid="{00000000-0005-0000-0000-00000A070000}"/>
    <cellStyle name="40% - Accent6 2 2 8 2" xfId="13037" xr:uid="{C21452E7-790F-4320-971D-4D0CE7FA784E}"/>
    <cellStyle name="40% - Accent6 2 2 9" xfId="8819" xr:uid="{C80FF05A-98EA-4CDB-BF5A-1EFC35634F03}"/>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A564F7EC-5361-49C2-8280-D2C121BDC144}"/>
    <cellStyle name="40% - Accent6 2 3 2 2 3" xfId="11380" xr:uid="{6814B4AE-BA2B-475C-9A1F-E2649032D7E2}"/>
    <cellStyle name="40% - Accent6 2 3 2 3" xfId="5011" xr:uid="{00000000-0005-0000-0000-00000F070000}"/>
    <cellStyle name="40% - Accent6 2 3 2 3 2" xfId="13453" xr:uid="{8EF35DFD-7AC4-4AAA-90BA-8CB6740A4261}"/>
    <cellStyle name="40% - Accent6 2 3 2 4" xfId="9235" xr:uid="{02B74AB8-0D30-4B2A-B165-4F65AA3CAA24}"/>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DC788562-B27C-4B81-B2B0-FAA10E1C4319}"/>
    <cellStyle name="40% - Accent6 2 3 3 2 3" xfId="11793" xr:uid="{E80BE93F-C29F-4C82-8966-6A5877EAF55C}"/>
    <cellStyle name="40% - Accent6 2 3 3 3" xfId="5424" xr:uid="{00000000-0005-0000-0000-000013070000}"/>
    <cellStyle name="40% - Accent6 2 3 3 3 2" xfId="13866" xr:uid="{0FFB4D89-800E-4A2B-8A9E-0AE90DB7712F}"/>
    <cellStyle name="40% - Accent6 2 3 3 4" xfId="9648" xr:uid="{3E2013F0-F60D-416D-9C22-9F0BC43E9761}"/>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3F4DE9E7-676A-45AC-AB6E-9FD15A7E7B4C}"/>
    <cellStyle name="40% - Accent6 2 3 4 2 3" xfId="12206" xr:uid="{21205333-1BD5-4528-98A3-8DA7C1D2C7A2}"/>
    <cellStyle name="40% - Accent6 2 3 4 3" xfId="5837" xr:uid="{00000000-0005-0000-0000-000017070000}"/>
    <cellStyle name="40% - Accent6 2 3 4 3 2" xfId="14279" xr:uid="{84647265-8070-482A-A250-D8226A2AF8CB}"/>
    <cellStyle name="40% - Accent6 2 3 4 4" xfId="10061" xr:uid="{7E69C4DC-540A-4AA9-8598-ED401D579DEB}"/>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0BD5AC32-0595-4F6F-9FB8-0E00B1319D7B}"/>
    <cellStyle name="40% - Accent6 2 3 5 2 3" xfId="12619" xr:uid="{D42D494D-1D54-4B6E-8A82-580D843C3174}"/>
    <cellStyle name="40% - Accent6 2 3 5 3" xfId="6250" xr:uid="{00000000-0005-0000-0000-00001B070000}"/>
    <cellStyle name="40% - Accent6 2 3 5 3 2" xfId="14692" xr:uid="{0AA5997E-DFB4-48B1-A7E1-9FF6299C44C6}"/>
    <cellStyle name="40% - Accent6 2 3 5 4" xfId="10474" xr:uid="{B587836E-3F1E-4222-A86B-61BED309398C}"/>
    <cellStyle name="40% - Accent6 2 3 6" xfId="2356" xr:uid="{00000000-0005-0000-0000-00001C070000}"/>
    <cellStyle name="40% - Accent6 2 3 6 2" xfId="6663" xr:uid="{00000000-0005-0000-0000-00001D070000}"/>
    <cellStyle name="40% - Accent6 2 3 6 2 2" xfId="15105" xr:uid="{A2C45364-4276-4A5B-AF04-820CB0A75623}"/>
    <cellStyle name="40% - Accent6 2 3 6 3" xfId="10887" xr:uid="{557C84D4-6EE5-46F4-9F33-F1F7D26BABBC}"/>
    <cellStyle name="40% - Accent6 2 3 7" xfId="4597" xr:uid="{00000000-0005-0000-0000-00001E070000}"/>
    <cellStyle name="40% - Accent6 2 3 7 2" xfId="13039" xr:uid="{FBFBE3C5-5E5D-4E3F-9731-9F6052D93CD5}"/>
    <cellStyle name="40% - Accent6 2 3 8" xfId="8821" xr:uid="{6A3152FF-BA45-45F5-BE64-9F0C07D5509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928E5818-76D2-49FD-8231-72CDF6820541}"/>
    <cellStyle name="40% - Accent6 2 4 2 3" xfId="11377" xr:uid="{83C08E2C-480C-43BE-9EEF-7A213AD39488}"/>
    <cellStyle name="40% - Accent6 2 4 3" xfId="5008" xr:uid="{00000000-0005-0000-0000-000022070000}"/>
    <cellStyle name="40% - Accent6 2 4 3 2" xfId="13450" xr:uid="{2705FECA-4FAF-4E4F-BD51-FFDBD6BFBF26}"/>
    <cellStyle name="40% - Accent6 2 4 4" xfId="9232" xr:uid="{A9C77214-2F7D-464D-9BDB-83FCB68A1837}"/>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49334F62-CC50-467B-AFAC-94FAFECFECCD}"/>
    <cellStyle name="40% - Accent6 2 5 2 3" xfId="11790" xr:uid="{BE7F5FDC-7FEA-4E91-9223-C1F78695BAD5}"/>
    <cellStyle name="40% - Accent6 2 5 3" xfId="5421" xr:uid="{00000000-0005-0000-0000-000026070000}"/>
    <cellStyle name="40% - Accent6 2 5 3 2" xfId="13863" xr:uid="{7E28CD3E-7F7E-44AE-8555-65722E620438}"/>
    <cellStyle name="40% - Accent6 2 5 4" xfId="9645" xr:uid="{45B8B97D-CCEF-4A1F-8799-260D29905DB7}"/>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ADFA5A28-9D70-40A3-9066-30CEA5B12E7D}"/>
    <cellStyle name="40% - Accent6 2 6 2 3" xfId="12203" xr:uid="{60CABFE6-6D46-4481-9BCE-0A85149F9340}"/>
    <cellStyle name="40% - Accent6 2 6 3" xfId="5834" xr:uid="{00000000-0005-0000-0000-00002A070000}"/>
    <cellStyle name="40% - Accent6 2 6 3 2" xfId="14276" xr:uid="{C2E41B75-8C31-499E-AA69-8531485A947A}"/>
    <cellStyle name="40% - Accent6 2 6 4" xfId="10058" xr:uid="{37BD4CAF-E54F-4B32-B432-23BDEA5331E1}"/>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5A62ED6D-9594-4BD7-BE2A-9657F8A2C23F}"/>
    <cellStyle name="40% - Accent6 2 7 2 3" xfId="12616" xr:uid="{7D139F6A-2ED1-49A5-8EDE-A15B2E683756}"/>
    <cellStyle name="40% - Accent6 2 7 3" xfId="6247" xr:uid="{00000000-0005-0000-0000-00002E070000}"/>
    <cellStyle name="40% - Accent6 2 7 3 2" xfId="14689" xr:uid="{7C563D25-40AB-49F2-9DCA-402198B19A66}"/>
    <cellStyle name="40% - Accent6 2 7 4" xfId="10471" xr:uid="{66C1278E-5C56-473E-8A7E-F6BD99F1AC23}"/>
    <cellStyle name="40% - Accent6 2 8" xfId="2353" xr:uid="{00000000-0005-0000-0000-00002F070000}"/>
    <cellStyle name="40% - Accent6 2 8 2" xfId="6660" xr:uid="{00000000-0005-0000-0000-000030070000}"/>
    <cellStyle name="40% - Accent6 2 8 2 2" xfId="15102" xr:uid="{0607EECC-74BC-43B1-8B33-0819E59B4036}"/>
    <cellStyle name="40% - Accent6 2 8 3" xfId="10884" xr:uid="{9947B33B-E417-4E9D-994C-B957A95EB3AA}"/>
    <cellStyle name="40% - Accent6 2 9" xfId="4594" xr:uid="{00000000-0005-0000-0000-000031070000}"/>
    <cellStyle name="40% - Accent6 2 9 2" xfId="13036" xr:uid="{14668745-E9AD-4A95-A0A0-584A2FFFF1CC}"/>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7352C167-F433-4138-BF31-984F830D13AE}"/>
    <cellStyle name="40% - Accent6 3 2 2 2 3" xfId="11382" xr:uid="{8E42FB35-2EE3-4426-9E04-45CAEBD34DD2}"/>
    <cellStyle name="40% - Accent6 3 2 2 3" xfId="5013" xr:uid="{00000000-0005-0000-0000-000037070000}"/>
    <cellStyle name="40% - Accent6 3 2 2 3 2" xfId="13455" xr:uid="{53EA98EE-5432-4344-9EA7-9B36577C71E1}"/>
    <cellStyle name="40% - Accent6 3 2 2 4" xfId="9237" xr:uid="{D23C8577-1714-4E70-802F-CAB02F563EFF}"/>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14FDB1D2-1872-499A-B56E-040B7326E892}"/>
    <cellStyle name="40% - Accent6 3 2 3 2 3" xfId="11795" xr:uid="{87EF819F-2220-47EB-ABD9-89BB62E9E65B}"/>
    <cellStyle name="40% - Accent6 3 2 3 3" xfId="5426" xr:uid="{00000000-0005-0000-0000-00003B070000}"/>
    <cellStyle name="40% - Accent6 3 2 3 3 2" xfId="13868" xr:uid="{7AF1E64B-FEC1-46C0-8B07-0905EBEEE06E}"/>
    <cellStyle name="40% - Accent6 3 2 3 4" xfId="9650" xr:uid="{095A6CAF-FDD2-4B2A-B35A-405FF57FB01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B4050D6A-0FCF-41F1-B0AC-2E35D38D82A9}"/>
    <cellStyle name="40% - Accent6 3 2 4 2 3" xfId="12208" xr:uid="{1CC62E04-4C29-4C6D-8F3C-DE9D1957960E}"/>
    <cellStyle name="40% - Accent6 3 2 4 3" xfId="5839" xr:uid="{00000000-0005-0000-0000-00003F070000}"/>
    <cellStyle name="40% - Accent6 3 2 4 3 2" xfId="14281" xr:uid="{C7262998-93A7-48D4-B378-0DDB236D2F7F}"/>
    <cellStyle name="40% - Accent6 3 2 4 4" xfId="10063" xr:uid="{B8272175-8455-4574-8149-660912C47249}"/>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C4997628-A35D-4AFA-9C82-C9B4338E0042}"/>
    <cellStyle name="40% - Accent6 3 2 5 2 3" xfId="12621" xr:uid="{92F3FBC6-02B8-42AD-874D-5D02E796669B}"/>
    <cellStyle name="40% - Accent6 3 2 5 3" xfId="6252" xr:uid="{00000000-0005-0000-0000-000043070000}"/>
    <cellStyle name="40% - Accent6 3 2 5 3 2" xfId="14694" xr:uid="{4C598EB1-33CF-4E2B-8DD8-7673741FC3A1}"/>
    <cellStyle name="40% - Accent6 3 2 5 4" xfId="10476" xr:uid="{F3E8AB78-9D4A-4FC4-8E8F-DFB41D00DABB}"/>
    <cellStyle name="40% - Accent6 3 2 6" xfId="2358" xr:uid="{00000000-0005-0000-0000-000044070000}"/>
    <cellStyle name="40% - Accent6 3 2 6 2" xfId="6665" xr:uid="{00000000-0005-0000-0000-000045070000}"/>
    <cellStyle name="40% - Accent6 3 2 6 2 2" xfId="15107" xr:uid="{478BBD75-9C53-4725-AD74-AB020DD889BF}"/>
    <cellStyle name="40% - Accent6 3 2 6 3" xfId="10889" xr:uid="{D47D5F8E-095A-4F00-9AA6-8EF9F17D91A5}"/>
    <cellStyle name="40% - Accent6 3 2 7" xfId="4599" xr:uid="{00000000-0005-0000-0000-000046070000}"/>
    <cellStyle name="40% - Accent6 3 2 7 2" xfId="13041" xr:uid="{BC84D327-8EA5-46B6-9C16-F79EC1F17211}"/>
    <cellStyle name="40% - Accent6 3 2 8" xfId="8823" xr:uid="{5BCDF1E2-08BA-42DC-AC1E-54CC4ECA2299}"/>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CC4CDDA-F47E-40E7-9D56-6959AD671257}"/>
    <cellStyle name="40% - Accent6 3 3 2 3" xfId="11381" xr:uid="{2A4BB56A-3808-4276-BBB9-7ED3C192DA38}"/>
    <cellStyle name="40% - Accent6 3 3 3" xfId="5012" xr:uid="{00000000-0005-0000-0000-00004A070000}"/>
    <cellStyle name="40% - Accent6 3 3 3 2" xfId="13454" xr:uid="{971E58B7-FBB8-4D12-A12E-30CD4AF09D03}"/>
    <cellStyle name="40% - Accent6 3 3 4" xfId="9236" xr:uid="{1427A531-9991-49FA-9278-2C465ECD8DF4}"/>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3894D4C1-6A6F-4C96-AB95-BD1D619AFD99}"/>
    <cellStyle name="40% - Accent6 3 4 2 3" xfId="11794" xr:uid="{D3E6018E-72C7-44C9-9731-48211A3F20BC}"/>
    <cellStyle name="40% - Accent6 3 4 3" xfId="5425" xr:uid="{00000000-0005-0000-0000-00004E070000}"/>
    <cellStyle name="40% - Accent6 3 4 3 2" xfId="13867" xr:uid="{683332D0-ED97-442F-AC12-E7D1548EDFCF}"/>
    <cellStyle name="40% - Accent6 3 4 4" xfId="9649" xr:uid="{B248D888-0CE1-4D95-A76D-10157C78FD23}"/>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E3B05ABE-4907-4193-B4E1-6499F9E18977}"/>
    <cellStyle name="40% - Accent6 3 5 2 3" xfId="12207" xr:uid="{4C0CA282-AFBE-4060-B3DE-45D602DAA298}"/>
    <cellStyle name="40% - Accent6 3 5 3" xfId="5838" xr:uid="{00000000-0005-0000-0000-000052070000}"/>
    <cellStyle name="40% - Accent6 3 5 3 2" xfId="14280" xr:uid="{72E08EAF-3894-4C03-AB01-A7D2491D04E8}"/>
    <cellStyle name="40% - Accent6 3 5 4" xfId="10062" xr:uid="{2EFC0A0D-8E96-4846-8216-F9B96FC9A6DD}"/>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1CD59E2D-C256-4602-B9A0-4902DAAA311A}"/>
    <cellStyle name="40% - Accent6 3 6 2 3" xfId="12620" xr:uid="{B8AB50A7-B744-49B6-A4A8-D568FF3A440F}"/>
    <cellStyle name="40% - Accent6 3 6 3" xfId="6251" xr:uid="{00000000-0005-0000-0000-000056070000}"/>
    <cellStyle name="40% - Accent6 3 6 3 2" xfId="14693" xr:uid="{DBFC9A42-6025-4E01-AC1E-D5EB881868A1}"/>
    <cellStyle name="40% - Accent6 3 6 4" xfId="10475" xr:uid="{7ACF0178-F7F2-4DF1-9856-3120DB4BD033}"/>
    <cellStyle name="40% - Accent6 3 7" xfId="2357" xr:uid="{00000000-0005-0000-0000-000057070000}"/>
    <cellStyle name="40% - Accent6 3 7 2" xfId="6664" xr:uid="{00000000-0005-0000-0000-000058070000}"/>
    <cellStyle name="40% - Accent6 3 7 2 2" xfId="15106" xr:uid="{3FFEF858-E5DA-4416-8933-6B4508603B21}"/>
    <cellStyle name="40% - Accent6 3 7 3" xfId="10888" xr:uid="{24560401-BBA5-49F4-9D59-79BD52B6863B}"/>
    <cellStyle name="40% - Accent6 3 8" xfId="4598" xr:uid="{00000000-0005-0000-0000-000059070000}"/>
    <cellStyle name="40% - Accent6 3 8 2" xfId="13040" xr:uid="{2C94DE76-3E77-4DD9-9F14-072519F87BBA}"/>
    <cellStyle name="40% - Accent6 3 9" xfId="8822" xr:uid="{41A42A1A-A59A-40E0-B7EB-E3C66B8E78CF}"/>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72EC815-2754-4AEC-8384-A3C1538FD898}"/>
    <cellStyle name="40% - Accent6 4 2 2 3" xfId="11383" xr:uid="{14E86899-D789-4820-958A-FEC62471D84C}"/>
    <cellStyle name="40% - Accent6 4 2 3" xfId="5014" xr:uid="{00000000-0005-0000-0000-00005E070000}"/>
    <cellStyle name="40% - Accent6 4 2 3 2" xfId="13456" xr:uid="{470910F3-845E-49E9-B91F-81933CCB1B75}"/>
    <cellStyle name="40% - Accent6 4 2 4" xfId="9238" xr:uid="{94EB82BD-A5F6-4B82-BD70-09A882DD7B17}"/>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F6C7F680-6CCB-4FF2-ACAD-63F1CA72B956}"/>
    <cellStyle name="40% - Accent6 4 3 2 3" xfId="11796" xr:uid="{21EC2F62-6DD6-4E81-BDB7-E7881FF96FAC}"/>
    <cellStyle name="40% - Accent6 4 3 3" xfId="5427" xr:uid="{00000000-0005-0000-0000-000062070000}"/>
    <cellStyle name="40% - Accent6 4 3 3 2" xfId="13869" xr:uid="{C302D6D0-EA27-45DB-9C1D-EBD7FDD998C9}"/>
    <cellStyle name="40% - Accent6 4 3 4" xfId="9651" xr:uid="{D0A4125A-7A0B-4B09-B3DC-A31DC62D6927}"/>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483613A-3411-473F-B54F-50DC63C7F2F1}"/>
    <cellStyle name="40% - Accent6 4 4 2 3" xfId="12209" xr:uid="{73B644DF-A14F-43EA-A817-7A3EF53DC3EF}"/>
    <cellStyle name="40% - Accent6 4 4 3" xfId="5840" xr:uid="{00000000-0005-0000-0000-000066070000}"/>
    <cellStyle name="40% - Accent6 4 4 3 2" xfId="14282" xr:uid="{38FCB788-8617-4E32-B558-E059F630EFB3}"/>
    <cellStyle name="40% - Accent6 4 4 4" xfId="10064" xr:uid="{9B50F7A4-FE37-43AC-B2EE-BE0446089BDF}"/>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BB07EAC6-B1CB-4BDC-A41B-51288FD40E93}"/>
    <cellStyle name="40% - Accent6 4 5 2 3" xfId="12622" xr:uid="{AF10794E-6A97-4DB0-A4D8-55456D918515}"/>
    <cellStyle name="40% - Accent6 4 5 3" xfId="6253" xr:uid="{00000000-0005-0000-0000-00006A070000}"/>
    <cellStyle name="40% - Accent6 4 5 3 2" xfId="14695" xr:uid="{4AE64239-1BB2-42BD-93E0-AA6D56ADAD52}"/>
    <cellStyle name="40% - Accent6 4 5 4" xfId="10477" xr:uid="{12F07F3B-7F1F-4CBE-AE37-0A733879FC79}"/>
    <cellStyle name="40% - Accent6 4 6" xfId="2359" xr:uid="{00000000-0005-0000-0000-00006B070000}"/>
    <cellStyle name="40% - Accent6 4 6 2" xfId="6666" xr:uid="{00000000-0005-0000-0000-00006C070000}"/>
    <cellStyle name="40% - Accent6 4 6 2 2" xfId="15108" xr:uid="{CCE51155-0A1E-4825-844C-9A4BF1535BF6}"/>
    <cellStyle name="40% - Accent6 4 6 3" xfId="10890" xr:uid="{AA8BAC38-FACD-4B11-8A80-07EC7E609352}"/>
    <cellStyle name="40% - Accent6 4 7" xfId="4600" xr:uid="{00000000-0005-0000-0000-00006D070000}"/>
    <cellStyle name="40% - Accent6 4 7 2" xfId="13042" xr:uid="{AA2207E6-3343-468E-8356-9017E7368B70}"/>
    <cellStyle name="40% - Accent6 4 8" xfId="8824" xr:uid="{265D68E9-055B-4C32-88DC-35374C372678}"/>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39E54114-3F09-4E10-9087-766C46012273}"/>
    <cellStyle name="40% - Accent6 5 2 3" xfId="11376" xr:uid="{0DCBEEA3-6E7E-4FD4-97F9-D21A60CE2941}"/>
    <cellStyle name="40% - Accent6 5 3" xfId="5007" xr:uid="{00000000-0005-0000-0000-000071070000}"/>
    <cellStyle name="40% - Accent6 5 3 2" xfId="13449" xr:uid="{10F055DB-21B7-4971-8A46-20A73DBA9E0B}"/>
    <cellStyle name="40% - Accent6 5 4" xfId="9231" xr:uid="{30BDA2DC-B009-429E-9292-A8C94B5714FC}"/>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D09FCD5E-C0DF-4B91-872E-9250447604AA}"/>
    <cellStyle name="40% - Accent6 6 2 3" xfId="11789" xr:uid="{E8620F5D-B844-4A58-B2E8-BE2A41EB81C9}"/>
    <cellStyle name="40% - Accent6 6 3" xfId="5420" xr:uid="{00000000-0005-0000-0000-000075070000}"/>
    <cellStyle name="40% - Accent6 6 3 2" xfId="13862" xr:uid="{E1D5D6B8-E8E6-4A54-9095-C1BA970D2E01}"/>
    <cellStyle name="40% - Accent6 6 4" xfId="9644" xr:uid="{7A0C9533-F8C8-4141-B835-092A6806CAC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9C212CEB-D8B7-4283-B6CB-96767D5630EE}"/>
    <cellStyle name="40% - Accent6 7 2 3" xfId="12202" xr:uid="{E72F4753-8709-4F7A-A762-BEDB2121FB12}"/>
    <cellStyle name="40% - Accent6 7 3" xfId="5833" xr:uid="{00000000-0005-0000-0000-000079070000}"/>
    <cellStyle name="40% - Accent6 7 3 2" xfId="14275" xr:uid="{7A83128C-742B-4100-A605-0F8A05842DDE}"/>
    <cellStyle name="40% - Accent6 7 4" xfId="10057" xr:uid="{51F95C37-6EB4-4F46-A666-863C28B5A50D}"/>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FD306233-F71C-4F5A-9E6C-374AD464D492}"/>
    <cellStyle name="40% - Accent6 8 2 3" xfId="12615" xr:uid="{721C9EAB-A8C3-4631-AB2B-BF6B8FD86ABC}"/>
    <cellStyle name="40% - Accent6 8 3" xfId="6246" xr:uid="{00000000-0005-0000-0000-00007D070000}"/>
    <cellStyle name="40% - Accent6 8 3 2" xfId="14688" xr:uid="{7A8A0F0A-47B3-40BF-8E9A-002F045D202F}"/>
    <cellStyle name="40% - Accent6 8 4" xfId="10470" xr:uid="{193622C0-1A2D-49B9-B0A7-109E35644531}"/>
    <cellStyle name="40% - Accent6 9" xfId="2352" xr:uid="{00000000-0005-0000-0000-00007E070000}"/>
    <cellStyle name="40% - Accent6 9 2" xfId="6659" xr:uid="{00000000-0005-0000-0000-00007F070000}"/>
    <cellStyle name="40% - Accent6 9 2 2" xfId="15101" xr:uid="{C059A997-2AF2-47AB-A533-0AF043892C8B}"/>
    <cellStyle name="40% - Accent6 9 3" xfId="10883" xr:uid="{483B8FDF-53CF-4C27-AA28-7AF15558FE1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C2A064EE-20A1-4A60-9799-4141F983AA7A}"/>
    <cellStyle name="Comma 4 2 2 2 10 3" xfId="11208" xr:uid="{E6D0D224-69ED-4ACE-A399-D600A6C5A6F5}"/>
    <cellStyle name="Comma 4 2 2 2 11" xfId="4601" xr:uid="{00000000-0005-0000-0000-0000A3070000}"/>
    <cellStyle name="Comma 4 2 2 2 11 2" xfId="13043" xr:uid="{8D2468B8-318A-40A7-BBBE-8E1F19931254}"/>
    <cellStyle name="Comma 4 2 2 2 12" xfId="8825" xr:uid="{8D6E2B99-F156-4051-BC4E-10286F2E35CE}"/>
    <cellStyle name="Comma 4 2 2 2 2" xfId="129" xr:uid="{00000000-0005-0000-0000-0000A4070000}"/>
    <cellStyle name="Comma 4 2 2 2 2 10" xfId="4602" xr:uid="{00000000-0005-0000-0000-0000A5070000}"/>
    <cellStyle name="Comma 4 2 2 2 2 10 2" xfId="13044" xr:uid="{F11E956C-085D-4432-94BD-580BA7C7C107}"/>
    <cellStyle name="Comma 4 2 2 2 2 11" xfId="8826" xr:uid="{71200866-82CA-4A56-9FE6-5309594DA82A}"/>
    <cellStyle name="Comma 4 2 2 2 2 2" xfId="130" xr:uid="{00000000-0005-0000-0000-0000A6070000}"/>
    <cellStyle name="Comma 4 2 2 2 2 2 10" xfId="8827" xr:uid="{4D1DF69D-32AA-4EE9-B09A-C2CC014B3DC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5DAFB82E-7E59-4A24-B264-A1479C96590F}"/>
    <cellStyle name="Comma 4 2 2 2 2 2 2 2 3" xfId="11386" xr:uid="{F3043834-C48E-4E0E-A187-B02DE3E2B317}"/>
    <cellStyle name="Comma 4 2 2 2 2 2 2 3" xfId="5017" xr:uid="{00000000-0005-0000-0000-0000AA070000}"/>
    <cellStyle name="Comma 4 2 2 2 2 2 2 3 2" xfId="13459" xr:uid="{134B67B7-D0FE-45AD-8951-F5781246F0AF}"/>
    <cellStyle name="Comma 4 2 2 2 2 2 2 4" xfId="9241" xr:uid="{B8A455B4-C066-4A47-B99C-89DCC75C09CB}"/>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0B9778D4-4B66-4AD7-82A5-49A6F3623C3C}"/>
    <cellStyle name="Comma 4 2 2 2 2 2 3 2 3" xfId="11799" xr:uid="{3CEC164A-2969-4BB4-A264-79C3B8DD886D}"/>
    <cellStyle name="Comma 4 2 2 2 2 2 3 3" xfId="5430" xr:uid="{00000000-0005-0000-0000-0000AE070000}"/>
    <cellStyle name="Comma 4 2 2 2 2 2 3 3 2" xfId="13872" xr:uid="{0765AFAC-78C3-4444-956A-3F8E47731A51}"/>
    <cellStyle name="Comma 4 2 2 2 2 2 3 4" xfId="9654" xr:uid="{061ADD17-A6AF-4D48-8E0C-EE4856EA8C9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BA798F79-85BC-4A69-AF11-2AF20F67DB99}"/>
    <cellStyle name="Comma 4 2 2 2 2 2 4 2 3" xfId="12212" xr:uid="{0B059BD0-16AA-43B3-AA5C-23ADB5C062AB}"/>
    <cellStyle name="Comma 4 2 2 2 2 2 4 3" xfId="5843" xr:uid="{00000000-0005-0000-0000-0000B2070000}"/>
    <cellStyle name="Comma 4 2 2 2 2 2 4 3 2" xfId="14285" xr:uid="{CC2BEAEC-878A-4DC5-BB62-05F769D39967}"/>
    <cellStyle name="Comma 4 2 2 2 2 2 4 4" xfId="10067" xr:uid="{BAE68FED-D618-4F8F-9BE6-B84474E1A08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C423D450-742E-46C8-870B-69147CAF1BE7}"/>
    <cellStyle name="Comma 4 2 2 2 2 2 5 2 3" xfId="12625" xr:uid="{7720AFF9-2176-49D5-A03C-62E58B9A96B3}"/>
    <cellStyle name="Comma 4 2 2 2 2 2 5 3" xfId="6256" xr:uid="{00000000-0005-0000-0000-0000B6070000}"/>
    <cellStyle name="Comma 4 2 2 2 2 2 5 3 2" xfId="14698" xr:uid="{49B5981B-94DB-44E9-A025-8734F41BB579}"/>
    <cellStyle name="Comma 4 2 2 2 2 2 5 4" xfId="10480" xr:uid="{905291C9-875B-439E-BC3B-19B157ECBEE6}"/>
    <cellStyle name="Comma 4 2 2 2 2 2 6" xfId="2384" xr:uid="{00000000-0005-0000-0000-0000B7070000}"/>
    <cellStyle name="Comma 4 2 2 2 2 2 6 2" xfId="6669" xr:uid="{00000000-0005-0000-0000-0000B8070000}"/>
    <cellStyle name="Comma 4 2 2 2 2 2 6 2 2" xfId="15111" xr:uid="{CB814C63-E223-4265-A0C5-047A7AFF27BF}"/>
    <cellStyle name="Comma 4 2 2 2 2 2 6 3" xfId="10893" xr:uid="{F5184087-2592-45E4-8211-F98A3E91730E}"/>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522682B3-56B8-4555-B1A6-AC3282692F47}"/>
    <cellStyle name="Comma 4 2 2 2 2 2 8 3" xfId="11210" xr:uid="{D1520462-AE16-47D1-948F-B8E70141DE10}"/>
    <cellStyle name="Comma 4 2 2 2 2 2 9" xfId="4603" xr:uid="{00000000-0005-0000-0000-0000BC070000}"/>
    <cellStyle name="Comma 4 2 2 2 2 2 9 2" xfId="13045" xr:uid="{D3162E67-6ACE-4A7D-AA40-98657E7BFAB9}"/>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C1D0B5DF-4142-4842-BAEC-53AB27B1CB11}"/>
    <cellStyle name="Comma 4 2 2 2 2 3 2 3" xfId="11385" xr:uid="{22059926-874E-4125-AEDF-D3555BA8D408}"/>
    <cellStyle name="Comma 4 2 2 2 2 3 3" xfId="5016" xr:uid="{00000000-0005-0000-0000-0000C0070000}"/>
    <cellStyle name="Comma 4 2 2 2 2 3 3 2" xfId="13458" xr:uid="{93CCD166-9224-4F45-B241-F2E5439BA2C6}"/>
    <cellStyle name="Comma 4 2 2 2 2 3 4" xfId="9240" xr:uid="{7BFDFDD4-5E90-4390-8AD0-1A8EFC762ABA}"/>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95D80372-89A6-4FB0-8B74-4EC65F66B353}"/>
    <cellStyle name="Comma 4 2 2 2 2 4 2 3" xfId="11798" xr:uid="{D852EC25-E549-4EC8-8802-81A1B88CCFDC}"/>
    <cellStyle name="Comma 4 2 2 2 2 4 3" xfId="5429" xr:uid="{00000000-0005-0000-0000-0000C4070000}"/>
    <cellStyle name="Comma 4 2 2 2 2 4 3 2" xfId="13871" xr:uid="{1D55A424-0C41-480D-A8A4-26339FD1B446}"/>
    <cellStyle name="Comma 4 2 2 2 2 4 4" xfId="9653" xr:uid="{BBF01293-D44C-43CA-B3EA-7F7370AAB27B}"/>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18582E62-7BE9-440A-9ADC-E8D0567CCC84}"/>
    <cellStyle name="Comma 4 2 2 2 2 5 2 3" xfId="12211" xr:uid="{3FB741B2-519B-421D-A124-A5D4C2383A3B}"/>
    <cellStyle name="Comma 4 2 2 2 2 5 3" xfId="5842" xr:uid="{00000000-0005-0000-0000-0000C8070000}"/>
    <cellStyle name="Comma 4 2 2 2 2 5 3 2" xfId="14284" xr:uid="{5ACD4381-A69B-44B1-9C32-D7804833E5ED}"/>
    <cellStyle name="Comma 4 2 2 2 2 5 4" xfId="10066" xr:uid="{2D488EBF-6071-47B0-94DD-180832B041AF}"/>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1E173A35-28F3-4D0B-ABF4-5680332C6693}"/>
    <cellStyle name="Comma 4 2 2 2 2 6 2 3" xfId="12624" xr:uid="{D46DF369-DBA0-4336-9C2B-34F9FBF285AD}"/>
    <cellStyle name="Comma 4 2 2 2 2 6 3" xfId="6255" xr:uid="{00000000-0005-0000-0000-0000CC070000}"/>
    <cellStyle name="Comma 4 2 2 2 2 6 3 2" xfId="14697" xr:uid="{15C1B718-1B70-48AC-92B8-6D5DC64AB5DB}"/>
    <cellStyle name="Comma 4 2 2 2 2 6 4" xfId="10479" xr:uid="{59DFA0AC-6A11-4120-8D99-CE1FE3A8DAD9}"/>
    <cellStyle name="Comma 4 2 2 2 2 7" xfId="2383" xr:uid="{00000000-0005-0000-0000-0000CD070000}"/>
    <cellStyle name="Comma 4 2 2 2 2 7 2" xfId="6668" xr:uid="{00000000-0005-0000-0000-0000CE070000}"/>
    <cellStyle name="Comma 4 2 2 2 2 7 2 2" xfId="15110" xr:uid="{EEE1ED79-E27D-450F-84D2-B01B089014B4}"/>
    <cellStyle name="Comma 4 2 2 2 2 7 3" xfId="10892" xr:uid="{9766722D-A321-4214-A350-408B0118D4AF}"/>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8EE9B8B8-736C-4CCC-9631-173202B2805D}"/>
    <cellStyle name="Comma 4 2 2 2 2 9 3" xfId="11209" xr:uid="{8536BD3C-CEA6-47FA-B00A-DDF702760438}"/>
    <cellStyle name="Comma 4 2 2 2 3" xfId="131" xr:uid="{00000000-0005-0000-0000-0000D2070000}"/>
    <cellStyle name="Comma 4 2 2 2 3 10" xfId="8828" xr:uid="{D1D4CD03-688D-4666-9AE8-51DBBD922374}"/>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1F845D68-2646-46F1-80A9-9943E0CE3D85}"/>
    <cellStyle name="Comma 4 2 2 2 3 2 2 3" xfId="11387" xr:uid="{AFF5541E-3339-40E6-A56C-FED1960FA12E}"/>
    <cellStyle name="Comma 4 2 2 2 3 2 3" xfId="5018" xr:uid="{00000000-0005-0000-0000-0000D6070000}"/>
    <cellStyle name="Comma 4 2 2 2 3 2 3 2" xfId="13460" xr:uid="{43493E7F-0733-470D-93CA-933F114BC186}"/>
    <cellStyle name="Comma 4 2 2 2 3 2 4" xfId="9242" xr:uid="{9B3D824B-FD2F-4DF6-9111-35816CBF2A61}"/>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474CEBD7-5144-4754-A85D-6CD05B8607E6}"/>
    <cellStyle name="Comma 4 2 2 2 3 3 2 3" xfId="11800" xr:uid="{30587B90-6364-433A-B61F-63430B034BC5}"/>
    <cellStyle name="Comma 4 2 2 2 3 3 3" xfId="5431" xr:uid="{00000000-0005-0000-0000-0000DA070000}"/>
    <cellStyle name="Comma 4 2 2 2 3 3 3 2" xfId="13873" xr:uid="{DE81E1F0-CA88-425D-9546-B4250B33A45C}"/>
    <cellStyle name="Comma 4 2 2 2 3 3 4" xfId="9655" xr:uid="{601647F3-9E10-48E9-BBCC-BCF3EF9E99E3}"/>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B55CDFA2-D702-4D65-A46F-465E0891E997}"/>
    <cellStyle name="Comma 4 2 2 2 3 4 2 3" xfId="12213" xr:uid="{56C88438-AF1F-4DF4-B62C-959693F0190F}"/>
    <cellStyle name="Comma 4 2 2 2 3 4 3" xfId="5844" xr:uid="{00000000-0005-0000-0000-0000DE070000}"/>
    <cellStyle name="Comma 4 2 2 2 3 4 3 2" xfId="14286" xr:uid="{7AD9C6F7-207E-41B9-B463-7735B692F25B}"/>
    <cellStyle name="Comma 4 2 2 2 3 4 4" xfId="10068" xr:uid="{00F38A50-8530-4791-8994-36DCAB799EBE}"/>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552AC11A-CAA7-4F29-A5B0-20DAC210FD51}"/>
    <cellStyle name="Comma 4 2 2 2 3 5 2 3" xfId="12626" xr:uid="{5E8BD127-0E99-4F44-BA9F-70B9F55E6AC4}"/>
    <cellStyle name="Comma 4 2 2 2 3 5 3" xfId="6257" xr:uid="{00000000-0005-0000-0000-0000E2070000}"/>
    <cellStyle name="Comma 4 2 2 2 3 5 3 2" xfId="14699" xr:uid="{9DDAC995-6FA0-488F-8942-BCB0E99BC172}"/>
    <cellStyle name="Comma 4 2 2 2 3 5 4" xfId="10481" xr:uid="{8C8B55A8-9E85-41F6-B7BD-1DD1FBD18878}"/>
    <cellStyle name="Comma 4 2 2 2 3 6" xfId="2385" xr:uid="{00000000-0005-0000-0000-0000E3070000}"/>
    <cellStyle name="Comma 4 2 2 2 3 6 2" xfId="6670" xr:uid="{00000000-0005-0000-0000-0000E4070000}"/>
    <cellStyle name="Comma 4 2 2 2 3 6 2 2" xfId="15112" xr:uid="{823184B2-162A-462D-A507-8024E13A0296}"/>
    <cellStyle name="Comma 4 2 2 2 3 6 3" xfId="10894" xr:uid="{BEC4BD56-6086-4664-B173-6F9EB6CEBAAB}"/>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65A98129-8AC6-4C81-A269-1D6E5D979098}"/>
    <cellStyle name="Comma 4 2 2 2 3 8 3" xfId="11211" xr:uid="{90AF37FB-18B4-42B5-88CB-2897E8B492CE}"/>
    <cellStyle name="Comma 4 2 2 2 3 9" xfId="4604" xr:uid="{00000000-0005-0000-0000-0000E8070000}"/>
    <cellStyle name="Comma 4 2 2 2 3 9 2" xfId="13046" xr:uid="{155399A5-473A-4197-A945-2D7F872AC4B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9853F8F1-63ED-4F0F-8D43-5EA595ACFF02}"/>
    <cellStyle name="Comma 4 2 2 2 4 2 3" xfId="11384" xr:uid="{453D35FA-629C-479E-94C9-E1060174664B}"/>
    <cellStyle name="Comma 4 2 2 2 4 3" xfId="5015" xr:uid="{00000000-0005-0000-0000-0000EC070000}"/>
    <cellStyle name="Comma 4 2 2 2 4 3 2" xfId="13457" xr:uid="{53639330-8D83-4F6D-9390-A8DCE59873D9}"/>
    <cellStyle name="Comma 4 2 2 2 4 4" xfId="9239" xr:uid="{E18DF382-DD59-4474-BDE5-40A4E05C8D79}"/>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18A8778C-45EB-4C63-98A3-08937A0F2835}"/>
    <cellStyle name="Comma 4 2 2 2 5 2 3" xfId="11797" xr:uid="{8BF0AFAA-CDC9-4D52-9DAC-F53991DF3007}"/>
    <cellStyle name="Comma 4 2 2 2 5 3" xfId="5428" xr:uid="{00000000-0005-0000-0000-0000F0070000}"/>
    <cellStyle name="Comma 4 2 2 2 5 3 2" xfId="13870" xr:uid="{E4E490D1-78F4-4765-BBB9-D840173CD1E0}"/>
    <cellStyle name="Comma 4 2 2 2 5 4" xfId="9652" xr:uid="{D23CEFA0-CE6C-4E06-8E62-9A5F082CD672}"/>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AD3D744F-C401-4C2D-8A89-6B0944EC8A93}"/>
    <cellStyle name="Comma 4 2 2 2 6 2 3" xfId="12210" xr:uid="{F8501CA0-834E-40AE-AD66-F559CB178277}"/>
    <cellStyle name="Comma 4 2 2 2 6 3" xfId="5841" xr:uid="{00000000-0005-0000-0000-0000F4070000}"/>
    <cellStyle name="Comma 4 2 2 2 6 3 2" xfId="14283" xr:uid="{4D8F5B4F-CA1A-4820-AB72-F5AB73D37380}"/>
    <cellStyle name="Comma 4 2 2 2 6 4" xfId="10065" xr:uid="{80B38D58-5E73-4F5E-8B74-029ABB2F0C7D}"/>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4413088E-BF9C-4542-870C-14A702C40CFD}"/>
    <cellStyle name="Comma 4 2 2 2 7 2 3" xfId="12623" xr:uid="{2115708B-7C5C-4B55-A8D3-6D318BA8E96E}"/>
    <cellStyle name="Comma 4 2 2 2 7 3" xfId="6254" xr:uid="{00000000-0005-0000-0000-0000F8070000}"/>
    <cellStyle name="Comma 4 2 2 2 7 3 2" xfId="14696" xr:uid="{00E751A7-5060-4792-9E04-000FE6148B35}"/>
    <cellStyle name="Comma 4 2 2 2 7 4" xfId="10478" xr:uid="{CD45F344-A1DE-41D4-AEC9-9CDE8C1DF0F7}"/>
    <cellStyle name="Comma 4 2 2 2 8" xfId="2382" xr:uid="{00000000-0005-0000-0000-0000F9070000}"/>
    <cellStyle name="Comma 4 2 2 2 8 2" xfId="6667" xr:uid="{00000000-0005-0000-0000-0000FA070000}"/>
    <cellStyle name="Comma 4 2 2 2 8 2 2" xfId="15109" xr:uid="{E64149AC-B98E-4045-AE2F-F8066412C1EC}"/>
    <cellStyle name="Comma 4 2 2 2 8 3" xfId="10891" xr:uid="{04C08EF0-4FF6-48BC-9BD1-11DE30EB609C}"/>
    <cellStyle name="Comma 4 2 2 2 9" xfId="2381" xr:uid="{00000000-0005-0000-0000-0000FB070000}"/>
    <cellStyle name="Comma 4 2 2 3" xfId="132" xr:uid="{00000000-0005-0000-0000-0000FC070000}"/>
    <cellStyle name="Comma 4 2 2 3 10" xfId="4605" xr:uid="{00000000-0005-0000-0000-0000FD070000}"/>
    <cellStyle name="Comma 4 2 2 3 10 2" xfId="13047" xr:uid="{2161A97E-6D8C-44E5-B3EA-F7392FC46D05}"/>
    <cellStyle name="Comma 4 2 2 3 11" xfId="8829" xr:uid="{309A0A00-7201-4982-9AA0-9F23316996DD}"/>
    <cellStyle name="Comma 4 2 2 3 2" xfId="133" xr:uid="{00000000-0005-0000-0000-0000FE070000}"/>
    <cellStyle name="Comma 4 2 2 3 2 10" xfId="8830" xr:uid="{FD1341A7-7CEB-49BD-B26D-ADEA7E2B9249}"/>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EBFAF7B-2A96-4C58-9879-35E656094D22}"/>
    <cellStyle name="Comma 4 2 2 3 2 2 2 3" xfId="11389" xr:uid="{06BDBF8F-FAE7-41C0-9777-DA43B71F054E}"/>
    <cellStyle name="Comma 4 2 2 3 2 2 3" xfId="5020" xr:uid="{00000000-0005-0000-0000-000002080000}"/>
    <cellStyle name="Comma 4 2 2 3 2 2 3 2" xfId="13462" xr:uid="{B1C5D258-94FA-41A6-9535-DCC97E045743}"/>
    <cellStyle name="Comma 4 2 2 3 2 2 4" xfId="9244" xr:uid="{A7864D90-BBD0-41B7-B903-2049E4A97AC4}"/>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F35C2DBE-0171-4A5A-8A14-4618D1EEF77B}"/>
    <cellStyle name="Comma 4 2 2 3 2 3 2 3" xfId="11802" xr:uid="{9059348F-0D90-4551-8432-DD09B8E7223B}"/>
    <cellStyle name="Comma 4 2 2 3 2 3 3" xfId="5433" xr:uid="{00000000-0005-0000-0000-000006080000}"/>
    <cellStyle name="Comma 4 2 2 3 2 3 3 2" xfId="13875" xr:uid="{7CA00AA5-FF70-4A70-8578-16A35D6C9C07}"/>
    <cellStyle name="Comma 4 2 2 3 2 3 4" xfId="9657" xr:uid="{ECE41A2B-C7A8-4DCF-AD80-07CBC4282B15}"/>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F2A8C555-E0C7-4AB8-8811-4480C25649C5}"/>
    <cellStyle name="Comma 4 2 2 3 2 4 2 3" xfId="12215" xr:uid="{E31AE791-F204-46A5-ABC2-B1A0611C5428}"/>
    <cellStyle name="Comma 4 2 2 3 2 4 3" xfId="5846" xr:uid="{00000000-0005-0000-0000-00000A080000}"/>
    <cellStyle name="Comma 4 2 2 3 2 4 3 2" xfId="14288" xr:uid="{2F781930-E32B-4E8A-AA31-806FCB0081A9}"/>
    <cellStyle name="Comma 4 2 2 3 2 4 4" xfId="10070" xr:uid="{F8EFFB40-B659-426C-8BA3-9D5E3F4A6CD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652486E3-1319-4034-A849-972708E83BF4}"/>
    <cellStyle name="Comma 4 2 2 3 2 5 2 3" xfId="12628" xr:uid="{2C24C75A-AB9D-4D14-94BD-CF03AE32A90D}"/>
    <cellStyle name="Comma 4 2 2 3 2 5 3" xfId="6259" xr:uid="{00000000-0005-0000-0000-00000E080000}"/>
    <cellStyle name="Comma 4 2 2 3 2 5 3 2" xfId="14701" xr:uid="{98DF7E36-154C-4D67-B775-96A05D55748E}"/>
    <cellStyle name="Comma 4 2 2 3 2 5 4" xfId="10483" xr:uid="{9D4F9837-4409-4005-8FD3-4CE38B5CF218}"/>
    <cellStyle name="Comma 4 2 2 3 2 6" xfId="2387" xr:uid="{00000000-0005-0000-0000-00000F080000}"/>
    <cellStyle name="Comma 4 2 2 3 2 6 2" xfId="6672" xr:uid="{00000000-0005-0000-0000-000010080000}"/>
    <cellStyle name="Comma 4 2 2 3 2 6 2 2" xfId="15114" xr:uid="{D1459DBE-A369-4A3C-BA6C-3547CDE01BE4}"/>
    <cellStyle name="Comma 4 2 2 3 2 6 3" xfId="10896" xr:uid="{AA331A21-4DB0-40B5-A5C5-4A84B36F0A12}"/>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7B03F187-B72D-402B-87F5-8DD1285FE96F}"/>
    <cellStyle name="Comma 4 2 2 3 2 8 3" xfId="11213" xr:uid="{BEF70BC5-F124-422A-8B2D-6B0C2B24B462}"/>
    <cellStyle name="Comma 4 2 2 3 2 9" xfId="4606" xr:uid="{00000000-0005-0000-0000-000014080000}"/>
    <cellStyle name="Comma 4 2 2 3 2 9 2" xfId="13048" xr:uid="{EE87A650-B76E-46BD-80AD-99021688010A}"/>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B3BC9596-CAA7-4006-B57D-E98675CFE63A}"/>
    <cellStyle name="Comma 4 2 2 3 3 2 3" xfId="11388" xr:uid="{085987D8-80FA-48B1-B94F-B92F4EB2D103}"/>
    <cellStyle name="Comma 4 2 2 3 3 3" xfId="5019" xr:uid="{00000000-0005-0000-0000-000018080000}"/>
    <cellStyle name="Comma 4 2 2 3 3 3 2" xfId="13461" xr:uid="{65A6C318-2A24-407F-AC8B-D21041B5C49C}"/>
    <cellStyle name="Comma 4 2 2 3 3 4" xfId="9243" xr:uid="{36A3BFF7-B56D-4C6A-AC8C-DB731E971355}"/>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92CD4C69-FB30-46D5-BF53-40DD40058CA8}"/>
    <cellStyle name="Comma 4 2 2 3 4 2 3" xfId="11801" xr:uid="{3F41F034-CFD3-421C-B654-972B1871532B}"/>
    <cellStyle name="Comma 4 2 2 3 4 3" xfId="5432" xr:uid="{00000000-0005-0000-0000-00001C080000}"/>
    <cellStyle name="Comma 4 2 2 3 4 3 2" xfId="13874" xr:uid="{0A0F815B-3A62-49E7-9813-B0A79BAC403C}"/>
    <cellStyle name="Comma 4 2 2 3 4 4" xfId="9656" xr:uid="{78B1F764-057F-4182-BD11-2F603CDB422E}"/>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166D6505-32E4-4A30-84D6-F5106597EBBC}"/>
    <cellStyle name="Comma 4 2 2 3 5 2 3" xfId="12214" xr:uid="{DBE78D6C-028D-4E3E-93E8-31591DB3D319}"/>
    <cellStyle name="Comma 4 2 2 3 5 3" xfId="5845" xr:uid="{00000000-0005-0000-0000-000020080000}"/>
    <cellStyle name="Comma 4 2 2 3 5 3 2" xfId="14287" xr:uid="{4C5CB660-4957-47A1-BF15-FBABCA87ADE7}"/>
    <cellStyle name="Comma 4 2 2 3 5 4" xfId="10069" xr:uid="{A81C7DAD-BB73-4F7D-9EDA-3BA8216A61A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EA53FF43-60BB-4592-B496-6C8E5F2A7697}"/>
    <cellStyle name="Comma 4 2 2 3 6 2 3" xfId="12627" xr:uid="{2464A980-9F91-4B4B-8199-AD5B921DBC0F}"/>
    <cellStyle name="Comma 4 2 2 3 6 3" xfId="6258" xr:uid="{00000000-0005-0000-0000-000024080000}"/>
    <cellStyle name="Comma 4 2 2 3 6 3 2" xfId="14700" xr:uid="{8E6DD3E8-1502-4D2F-9917-4A24EEDCA122}"/>
    <cellStyle name="Comma 4 2 2 3 6 4" xfId="10482" xr:uid="{47915DF4-6C8F-4CC5-94A0-5B0BA3B2B557}"/>
    <cellStyle name="Comma 4 2 2 3 7" xfId="2386" xr:uid="{00000000-0005-0000-0000-000025080000}"/>
    <cellStyle name="Comma 4 2 2 3 7 2" xfId="6671" xr:uid="{00000000-0005-0000-0000-000026080000}"/>
    <cellStyle name="Comma 4 2 2 3 7 2 2" xfId="15113" xr:uid="{322B5C3D-2F6F-496E-AE7C-2782467D4B53}"/>
    <cellStyle name="Comma 4 2 2 3 7 3" xfId="10895" xr:uid="{A7EFDFF9-0476-4938-8429-D0EC42BCC96C}"/>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84C76B0B-F4B4-466B-9EF7-08E2CB4E37CD}"/>
    <cellStyle name="Comma 4 2 2 3 9 3" xfId="11212" xr:uid="{8DD13C0F-8D0E-46DB-8892-E25BD0FC6A3F}"/>
    <cellStyle name="Comma 4 2 2 4" xfId="134" xr:uid="{00000000-0005-0000-0000-00002A080000}"/>
    <cellStyle name="Comma 4 2 2 4 10" xfId="8831" xr:uid="{0D4E1CC4-9456-40A2-968D-4B99209D5B2F}"/>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FD48A324-F754-4A92-BC1A-D48A27A7104E}"/>
    <cellStyle name="Comma 4 2 2 4 2 2 3" xfId="11390" xr:uid="{B7C70DE0-B921-4270-9FF8-4693AE1F179F}"/>
    <cellStyle name="Comma 4 2 2 4 2 3" xfId="5021" xr:uid="{00000000-0005-0000-0000-00002E080000}"/>
    <cellStyle name="Comma 4 2 2 4 2 3 2" xfId="13463" xr:uid="{7167CE29-1DE3-450B-969B-4EE17138B3B1}"/>
    <cellStyle name="Comma 4 2 2 4 2 4" xfId="9245" xr:uid="{87F1956E-1A9E-43ED-9061-1072561CE5F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1F7031FC-EAB5-4C0D-9D79-973C51E5B7C5}"/>
    <cellStyle name="Comma 4 2 2 4 3 2 3" xfId="11803" xr:uid="{6E68F53F-E248-4F78-83EE-3620222A76BD}"/>
    <cellStyle name="Comma 4 2 2 4 3 3" xfId="5434" xr:uid="{00000000-0005-0000-0000-000032080000}"/>
    <cellStyle name="Comma 4 2 2 4 3 3 2" xfId="13876" xr:uid="{396F9E9C-6FCD-4FD3-A858-71C111D41AEE}"/>
    <cellStyle name="Comma 4 2 2 4 3 4" xfId="9658" xr:uid="{059D94E1-18F0-4CE8-8902-4C4E4123458F}"/>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BD1801BF-2F3D-4580-8ACB-AB53FF215FE9}"/>
    <cellStyle name="Comma 4 2 2 4 4 2 3" xfId="12216" xr:uid="{02C8E918-C661-4260-9FC3-78EA16D5C9F5}"/>
    <cellStyle name="Comma 4 2 2 4 4 3" xfId="5847" xr:uid="{00000000-0005-0000-0000-000036080000}"/>
    <cellStyle name="Comma 4 2 2 4 4 3 2" xfId="14289" xr:uid="{7EDDBD26-6318-4450-A66C-D7F1FE3B3C94}"/>
    <cellStyle name="Comma 4 2 2 4 4 4" xfId="10071" xr:uid="{B83706E1-E12D-4D09-9B63-6A8CA3E488D4}"/>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033D99B4-D527-48C1-8507-DED48B6AA0B7}"/>
    <cellStyle name="Comma 4 2 2 4 5 2 3" xfId="12629" xr:uid="{A25318FF-65DD-4709-B780-0820ECBE416E}"/>
    <cellStyle name="Comma 4 2 2 4 5 3" xfId="6260" xr:uid="{00000000-0005-0000-0000-00003A080000}"/>
    <cellStyle name="Comma 4 2 2 4 5 3 2" xfId="14702" xr:uid="{6B23C9C6-1F62-47C7-BE16-D7900AA72BF4}"/>
    <cellStyle name="Comma 4 2 2 4 5 4" xfId="10484" xr:uid="{D04CE75E-F12B-443D-B0F3-52321518712B}"/>
    <cellStyle name="Comma 4 2 2 4 6" xfId="2388" xr:uid="{00000000-0005-0000-0000-00003B080000}"/>
    <cellStyle name="Comma 4 2 2 4 6 2" xfId="6673" xr:uid="{00000000-0005-0000-0000-00003C080000}"/>
    <cellStyle name="Comma 4 2 2 4 6 2 2" xfId="15115" xr:uid="{4B90E408-0656-4E04-80C4-22234CAB5899}"/>
    <cellStyle name="Comma 4 2 2 4 6 3" xfId="10897" xr:uid="{873D353E-ADB5-49BD-B876-D6592B75A010}"/>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B8BB9CF2-FD70-498B-9C01-B12FCF3B89DA}"/>
    <cellStyle name="Comma 4 2 2 4 8 3" xfId="11214" xr:uid="{D3889E95-041D-4213-8759-F12A0FAF24D5}"/>
    <cellStyle name="Comma 4 2 2 4 9" xfId="4607" xr:uid="{00000000-0005-0000-0000-000040080000}"/>
    <cellStyle name="Comma 4 2 2 4 9 2" xfId="13049" xr:uid="{7C55C7A2-5C0A-42F5-8F06-399B794B4B96}"/>
    <cellStyle name="Comma 4 2 2 5" xfId="135" xr:uid="{00000000-0005-0000-0000-000041080000}"/>
    <cellStyle name="Comma 4 2 2 5 10" xfId="8832" xr:uid="{C4195F76-C948-48AF-85E2-21B5AA667E2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08D092FB-AC45-4C84-81E1-963A9E0B94E3}"/>
    <cellStyle name="Comma 4 2 2 5 2 2 3" xfId="11391" xr:uid="{F3782477-15D6-4A0A-993F-47DFA53F171B}"/>
    <cellStyle name="Comma 4 2 2 5 2 3" xfId="5022" xr:uid="{00000000-0005-0000-0000-000045080000}"/>
    <cellStyle name="Comma 4 2 2 5 2 3 2" xfId="13464" xr:uid="{495CB549-0BCE-4EC9-AC7A-511E627ED48D}"/>
    <cellStyle name="Comma 4 2 2 5 2 4" xfId="9246" xr:uid="{F598CF10-3C49-428B-8FEC-20ACF446D487}"/>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B0BA5CD9-8A5D-4788-AF15-1808D6D2F95E}"/>
    <cellStyle name="Comma 4 2 2 5 3 2 3" xfId="11804" xr:uid="{F05471D0-7307-450B-B53A-D702D1C80A5D}"/>
    <cellStyle name="Comma 4 2 2 5 3 3" xfId="5435" xr:uid="{00000000-0005-0000-0000-000049080000}"/>
    <cellStyle name="Comma 4 2 2 5 3 3 2" xfId="13877" xr:uid="{C6D88FB6-D7E1-4932-91E9-02BA0053141E}"/>
    <cellStyle name="Comma 4 2 2 5 3 4" xfId="9659" xr:uid="{6E0CC53C-4E4D-4C77-88FC-AB63BA6E9D8F}"/>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5F1B0B57-A470-4987-A554-26547CC3A282}"/>
    <cellStyle name="Comma 4 2 2 5 4 2 3" xfId="12217" xr:uid="{8C95C041-FD6C-47C4-81ED-FBDB48006FAA}"/>
    <cellStyle name="Comma 4 2 2 5 4 3" xfId="5848" xr:uid="{00000000-0005-0000-0000-00004D080000}"/>
    <cellStyle name="Comma 4 2 2 5 4 3 2" xfId="14290" xr:uid="{93DA118A-35A1-42E0-8C67-0DA12F76E8CA}"/>
    <cellStyle name="Comma 4 2 2 5 4 4" xfId="10072" xr:uid="{98A83695-1FBF-4535-95FA-3D6AAE416EC9}"/>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265B95E1-829F-45D9-80B0-790E29B67423}"/>
    <cellStyle name="Comma 4 2 2 5 5 2 3" xfId="12630" xr:uid="{DE45E0FC-F840-4071-95D9-7597DEAA63B1}"/>
    <cellStyle name="Comma 4 2 2 5 5 3" xfId="6261" xr:uid="{00000000-0005-0000-0000-000051080000}"/>
    <cellStyle name="Comma 4 2 2 5 5 3 2" xfId="14703" xr:uid="{51FB438F-F32D-4A0E-A55A-97B25DB96C55}"/>
    <cellStyle name="Comma 4 2 2 5 5 4" xfId="10485" xr:uid="{7CFD42CE-EDE8-45E0-8114-77808B39A1B2}"/>
    <cellStyle name="Comma 4 2 2 5 6" xfId="2389" xr:uid="{00000000-0005-0000-0000-000052080000}"/>
    <cellStyle name="Comma 4 2 2 5 6 2" xfId="6674" xr:uid="{00000000-0005-0000-0000-000053080000}"/>
    <cellStyle name="Comma 4 2 2 5 6 2 2" xfId="15116" xr:uid="{3610175B-B2FA-48EE-82DC-9E5108B61285}"/>
    <cellStyle name="Comma 4 2 2 5 6 3" xfId="10898" xr:uid="{428CBF24-E489-4644-97AE-5B396412004E}"/>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3277C084-E0B6-4201-8AB3-C0BDD858D16B}"/>
    <cellStyle name="Comma 4 2 2 5 8 3" xfId="11215" xr:uid="{1FE6B3CE-75DE-4407-BB1E-0667B58278BE}"/>
    <cellStyle name="Comma 4 2 2 5 9" xfId="4608" xr:uid="{00000000-0005-0000-0000-000057080000}"/>
    <cellStyle name="Comma 4 2 2 5 9 2" xfId="13050" xr:uid="{B44642F6-3088-428C-9DFA-452EEBB7AF99}"/>
    <cellStyle name="Comma 4 2 3" xfId="136" xr:uid="{00000000-0005-0000-0000-000058080000}"/>
    <cellStyle name="Comma 4 2 3 10" xfId="2768" xr:uid="{00000000-0005-0000-0000-000059080000}"/>
    <cellStyle name="Comma 4 2 3 10 2" xfId="6992" xr:uid="{00000000-0005-0000-0000-00005A080000}"/>
    <cellStyle name="Comma 4 2 3 10 2 2" xfId="15434" xr:uid="{5D303917-0223-4139-BA16-42E59798855F}"/>
    <cellStyle name="Comma 4 2 3 10 3" xfId="11216" xr:uid="{7AD71F06-5042-40DE-8AC9-6422FFFDC088}"/>
    <cellStyle name="Comma 4 2 3 11" xfId="4609" xr:uid="{00000000-0005-0000-0000-00005B080000}"/>
    <cellStyle name="Comma 4 2 3 11 2" xfId="13051" xr:uid="{D85DC698-DBB4-4B61-8BF9-F4C96112382D}"/>
    <cellStyle name="Comma 4 2 3 12" xfId="8833" xr:uid="{B56E573C-B9D4-439F-9EAC-ACAD0EEE975C}"/>
    <cellStyle name="Comma 4 2 3 2" xfId="137" xr:uid="{00000000-0005-0000-0000-00005C080000}"/>
    <cellStyle name="Comma 4 2 3 2 10" xfId="4610" xr:uid="{00000000-0005-0000-0000-00005D080000}"/>
    <cellStyle name="Comma 4 2 3 2 10 2" xfId="13052" xr:uid="{DFF699DE-7600-4938-9B6D-E0C137C46DF3}"/>
    <cellStyle name="Comma 4 2 3 2 11" xfId="8834" xr:uid="{20A13317-0AD5-46F0-A67F-F420BA0EAD4B}"/>
    <cellStyle name="Comma 4 2 3 2 2" xfId="138" xr:uid="{00000000-0005-0000-0000-00005E080000}"/>
    <cellStyle name="Comma 4 2 3 2 2 10" xfId="8835" xr:uid="{F2D409E9-5C70-4147-8C1C-1B6CDF03A6D9}"/>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FBA55140-6425-421A-B9BC-50BCD74154C2}"/>
    <cellStyle name="Comma 4 2 3 2 2 2 2 3" xfId="11394" xr:uid="{0722D1D9-C189-471D-B022-41DACF8C4C1E}"/>
    <cellStyle name="Comma 4 2 3 2 2 2 3" xfId="5025" xr:uid="{00000000-0005-0000-0000-000062080000}"/>
    <cellStyle name="Comma 4 2 3 2 2 2 3 2" xfId="13467" xr:uid="{00BE6BC4-4436-476F-9CC9-6F7B17F21FBD}"/>
    <cellStyle name="Comma 4 2 3 2 2 2 4" xfId="9249" xr:uid="{B9B1691B-0C54-40B6-9743-A54D471F99C9}"/>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D40DB634-D7B7-4442-B4DA-68405907AB05}"/>
    <cellStyle name="Comma 4 2 3 2 2 3 2 3" xfId="11807" xr:uid="{16D6AD8D-A328-4D3A-A202-C299E17A788E}"/>
    <cellStyle name="Comma 4 2 3 2 2 3 3" xfId="5438" xr:uid="{00000000-0005-0000-0000-000066080000}"/>
    <cellStyle name="Comma 4 2 3 2 2 3 3 2" xfId="13880" xr:uid="{9C6696C8-F02E-4C6C-944D-DCF0907ED79F}"/>
    <cellStyle name="Comma 4 2 3 2 2 3 4" xfId="9662" xr:uid="{2F973D50-C9A5-40D9-A7A0-EA013DD01AFA}"/>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381AD9AD-56B4-41FE-82B7-0AF4A5510597}"/>
    <cellStyle name="Comma 4 2 3 2 2 4 2 3" xfId="12220" xr:uid="{6919DD7A-37C0-459C-B8F4-7EA25461EC63}"/>
    <cellStyle name="Comma 4 2 3 2 2 4 3" xfId="5851" xr:uid="{00000000-0005-0000-0000-00006A080000}"/>
    <cellStyle name="Comma 4 2 3 2 2 4 3 2" xfId="14293" xr:uid="{87D39105-ACD8-4731-AC56-4B2C401A866B}"/>
    <cellStyle name="Comma 4 2 3 2 2 4 4" xfId="10075" xr:uid="{154036D4-2468-4CD4-983C-A727D989FF55}"/>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1CF2C5A8-71A7-4A0F-8857-9357189277BB}"/>
    <cellStyle name="Comma 4 2 3 2 2 5 2 3" xfId="12633" xr:uid="{D933A46E-9634-4F60-97B3-27C79E5880FC}"/>
    <cellStyle name="Comma 4 2 3 2 2 5 3" xfId="6264" xr:uid="{00000000-0005-0000-0000-00006E080000}"/>
    <cellStyle name="Comma 4 2 3 2 2 5 3 2" xfId="14706" xr:uid="{F21F7174-5D6F-431A-80BB-D0A7F0EA0498}"/>
    <cellStyle name="Comma 4 2 3 2 2 5 4" xfId="10488" xr:uid="{5418A1FC-90AE-4EBF-A741-C962BA4E5D8B}"/>
    <cellStyle name="Comma 4 2 3 2 2 6" xfId="2392" xr:uid="{00000000-0005-0000-0000-00006F080000}"/>
    <cellStyle name="Comma 4 2 3 2 2 6 2" xfId="6677" xr:uid="{00000000-0005-0000-0000-000070080000}"/>
    <cellStyle name="Comma 4 2 3 2 2 6 2 2" xfId="15119" xr:uid="{646BA4A9-22B4-4807-89B2-B784A1751022}"/>
    <cellStyle name="Comma 4 2 3 2 2 6 3" xfId="10901" xr:uid="{5B1E7C00-DCD8-49BF-A967-0FC31AAE67FD}"/>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B520F639-D5BD-40C5-A816-5B6ED98EE553}"/>
    <cellStyle name="Comma 4 2 3 2 2 8 3" xfId="11218" xr:uid="{CB761072-1683-47BD-95F1-30D38441F931}"/>
    <cellStyle name="Comma 4 2 3 2 2 9" xfId="4611" xr:uid="{00000000-0005-0000-0000-000074080000}"/>
    <cellStyle name="Comma 4 2 3 2 2 9 2" xfId="13053" xr:uid="{23CAB3B7-AA1C-4F65-95C5-F2A4DB5AFD01}"/>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48CE70C3-5C5F-432F-B929-89E645C81E0D}"/>
    <cellStyle name="Comma 4 2 3 2 3 2 3" xfId="11393" xr:uid="{090A44FA-9EDD-47FE-A955-A17C54305283}"/>
    <cellStyle name="Comma 4 2 3 2 3 3" xfId="5024" xr:uid="{00000000-0005-0000-0000-000078080000}"/>
    <cellStyle name="Comma 4 2 3 2 3 3 2" xfId="13466" xr:uid="{05A0D789-9C8E-49AF-97FD-684F1E37F780}"/>
    <cellStyle name="Comma 4 2 3 2 3 4" xfId="9248" xr:uid="{39BE60DE-727C-4006-853C-B00023A0A252}"/>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B526F65E-E41F-4ABD-B632-A9FA085E29E9}"/>
    <cellStyle name="Comma 4 2 3 2 4 2 3" xfId="11806" xr:uid="{CC02A087-F963-426C-AD9C-28701434BBA0}"/>
    <cellStyle name="Comma 4 2 3 2 4 3" xfId="5437" xr:uid="{00000000-0005-0000-0000-00007C080000}"/>
    <cellStyle name="Comma 4 2 3 2 4 3 2" xfId="13879" xr:uid="{47BC62CD-EEF5-4BA3-9EB3-9BF4661962CC}"/>
    <cellStyle name="Comma 4 2 3 2 4 4" xfId="9661" xr:uid="{B9747A51-7D66-434E-B76A-2CF42C78C3A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2395485A-4DE1-4B20-B5BD-E0690E20665C}"/>
    <cellStyle name="Comma 4 2 3 2 5 2 3" xfId="12219" xr:uid="{CC849995-AF1E-4479-9822-00332C83E9B9}"/>
    <cellStyle name="Comma 4 2 3 2 5 3" xfId="5850" xr:uid="{00000000-0005-0000-0000-000080080000}"/>
    <cellStyle name="Comma 4 2 3 2 5 3 2" xfId="14292" xr:uid="{B4EF8BE9-8F0C-4C1F-B2D3-CCFFAABDF00B}"/>
    <cellStyle name="Comma 4 2 3 2 5 4" xfId="10074" xr:uid="{34A13CE1-0FB2-4068-8430-7333A535A48A}"/>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408EF7C6-55F4-4350-BFC4-65E4D7C9FA98}"/>
    <cellStyle name="Comma 4 2 3 2 6 2 3" xfId="12632" xr:uid="{9FC7E843-6D0F-4D86-BB27-6A49AAA4BBD7}"/>
    <cellStyle name="Comma 4 2 3 2 6 3" xfId="6263" xr:uid="{00000000-0005-0000-0000-000084080000}"/>
    <cellStyle name="Comma 4 2 3 2 6 3 2" xfId="14705" xr:uid="{270ECC0E-3FF0-47DE-A4AC-14A698C44BFD}"/>
    <cellStyle name="Comma 4 2 3 2 6 4" xfId="10487" xr:uid="{DF3B3EAF-6C99-43F3-A0F6-0B510DBF7FB4}"/>
    <cellStyle name="Comma 4 2 3 2 7" xfId="2391" xr:uid="{00000000-0005-0000-0000-000085080000}"/>
    <cellStyle name="Comma 4 2 3 2 7 2" xfId="6676" xr:uid="{00000000-0005-0000-0000-000086080000}"/>
    <cellStyle name="Comma 4 2 3 2 7 2 2" xfId="15118" xr:uid="{053203DE-EB76-480D-A52E-F8736678586D}"/>
    <cellStyle name="Comma 4 2 3 2 7 3" xfId="10900" xr:uid="{073C299E-AF26-4210-89D8-61E56D30C5CE}"/>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3601545-4BF8-484F-9DF5-DA16106AD26A}"/>
    <cellStyle name="Comma 4 2 3 2 9 3" xfId="11217" xr:uid="{A02B9D9C-DEB2-45A9-84CB-0B744FC75AEF}"/>
    <cellStyle name="Comma 4 2 3 3" xfId="139" xr:uid="{00000000-0005-0000-0000-00008A080000}"/>
    <cellStyle name="Comma 4 2 3 3 10" xfId="8836" xr:uid="{55232EA3-7250-4C89-9BB6-8F7B14376A19}"/>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02E8B017-B6EC-416B-85A3-FDA4A9CF6DDA}"/>
    <cellStyle name="Comma 4 2 3 3 2 2 3" xfId="11395" xr:uid="{1547B431-50EB-42A9-B0A7-9E6475504945}"/>
    <cellStyle name="Comma 4 2 3 3 2 3" xfId="5026" xr:uid="{00000000-0005-0000-0000-00008E080000}"/>
    <cellStyle name="Comma 4 2 3 3 2 3 2" xfId="13468" xr:uid="{49529FA5-B24B-48FA-AAAB-EA3A113FF0B3}"/>
    <cellStyle name="Comma 4 2 3 3 2 4" xfId="9250" xr:uid="{0AEA38CD-0D5C-4177-9FE9-EECDDB2D7DBB}"/>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98012862-6E61-4F90-AAE3-C44DCB36AAD6}"/>
    <cellStyle name="Comma 4 2 3 3 3 2 3" xfId="11808" xr:uid="{415B00E4-3868-4F70-858A-821FAEFF3EB5}"/>
    <cellStyle name="Comma 4 2 3 3 3 3" xfId="5439" xr:uid="{00000000-0005-0000-0000-000092080000}"/>
    <cellStyle name="Comma 4 2 3 3 3 3 2" xfId="13881" xr:uid="{3F8A2594-0B79-4EF8-84A2-D20EB29D25AC}"/>
    <cellStyle name="Comma 4 2 3 3 3 4" xfId="9663" xr:uid="{86ED07DA-363F-4188-89DF-0623D87324BB}"/>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25F09495-4F99-4C24-8089-E50CE53AE1E4}"/>
    <cellStyle name="Comma 4 2 3 3 4 2 3" xfId="12221" xr:uid="{8D407AA8-723F-448D-A5C5-D35925CE874B}"/>
    <cellStyle name="Comma 4 2 3 3 4 3" xfId="5852" xr:uid="{00000000-0005-0000-0000-000096080000}"/>
    <cellStyle name="Comma 4 2 3 3 4 3 2" xfId="14294" xr:uid="{58E8D17B-6E4C-4B4B-A39D-A38E195592BA}"/>
    <cellStyle name="Comma 4 2 3 3 4 4" xfId="10076" xr:uid="{A69752C2-E431-4E70-877B-4C6055587835}"/>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B8C2B733-0523-4FEC-B666-E6103C0BFFD8}"/>
    <cellStyle name="Comma 4 2 3 3 5 2 3" xfId="12634" xr:uid="{80FF2E25-B165-4957-88BB-7277638ECEEB}"/>
    <cellStyle name="Comma 4 2 3 3 5 3" xfId="6265" xr:uid="{00000000-0005-0000-0000-00009A080000}"/>
    <cellStyle name="Comma 4 2 3 3 5 3 2" xfId="14707" xr:uid="{DD2A0EB9-7BAD-4569-8649-771AD16ADABE}"/>
    <cellStyle name="Comma 4 2 3 3 5 4" xfId="10489" xr:uid="{E819ADC0-C301-47F7-B53D-A7A5868C4812}"/>
    <cellStyle name="Comma 4 2 3 3 6" xfId="2393" xr:uid="{00000000-0005-0000-0000-00009B080000}"/>
    <cellStyle name="Comma 4 2 3 3 6 2" xfId="6678" xr:uid="{00000000-0005-0000-0000-00009C080000}"/>
    <cellStyle name="Comma 4 2 3 3 6 2 2" xfId="15120" xr:uid="{E07DF8A7-6799-496D-89D9-86D880797471}"/>
    <cellStyle name="Comma 4 2 3 3 6 3" xfId="10902" xr:uid="{5E1095E3-B993-410D-A557-CA10D0DB79F1}"/>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589020E4-5D44-46F3-9D11-052C81E234C0}"/>
    <cellStyle name="Comma 4 2 3 3 8 3" xfId="11219" xr:uid="{C4E606DF-5F34-4462-940B-9F973E86E37A}"/>
    <cellStyle name="Comma 4 2 3 3 9" xfId="4612" xr:uid="{00000000-0005-0000-0000-0000A0080000}"/>
    <cellStyle name="Comma 4 2 3 3 9 2" xfId="13054" xr:uid="{DF4FE24A-DF09-4AFC-9FF9-F3EFF8B3B607}"/>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DFDD9A88-0BC6-47BC-821C-A4AB08B21F73}"/>
    <cellStyle name="Comma 4 2 3 4 2 3" xfId="11392" xr:uid="{4366EDF9-88DD-4ACE-9220-33C732D0EB5B}"/>
    <cellStyle name="Comma 4 2 3 4 3" xfId="5023" xr:uid="{00000000-0005-0000-0000-0000A4080000}"/>
    <cellStyle name="Comma 4 2 3 4 3 2" xfId="13465" xr:uid="{EE233BBB-DEC1-4F58-8CC1-B26582D11028}"/>
    <cellStyle name="Comma 4 2 3 4 4" xfId="9247" xr:uid="{80BD9438-00BA-4C4E-AB39-ADA6851FA5AA}"/>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CD3C69F-A44A-47CB-A4AB-FD4F2E6A88A7}"/>
    <cellStyle name="Comma 4 2 3 5 2 3" xfId="11805" xr:uid="{29A1A65B-410D-41B5-9AFE-6AD2B254A32A}"/>
    <cellStyle name="Comma 4 2 3 5 3" xfId="5436" xr:uid="{00000000-0005-0000-0000-0000A8080000}"/>
    <cellStyle name="Comma 4 2 3 5 3 2" xfId="13878" xr:uid="{E5623513-7FD9-4783-8E36-8DDBB41B8842}"/>
    <cellStyle name="Comma 4 2 3 5 4" xfId="9660" xr:uid="{5DFD242C-67F0-4E24-B1C9-4BA36C44A51B}"/>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CF37E8D4-5C9C-421A-9278-E4D2E9C90E60}"/>
    <cellStyle name="Comma 4 2 3 6 2 3" xfId="12218" xr:uid="{4C02E9A1-946E-4601-9E95-68DA03E95C10}"/>
    <cellStyle name="Comma 4 2 3 6 3" xfId="5849" xr:uid="{00000000-0005-0000-0000-0000AC080000}"/>
    <cellStyle name="Comma 4 2 3 6 3 2" xfId="14291" xr:uid="{35486C06-BBE9-42F5-99B1-9E0F94D79726}"/>
    <cellStyle name="Comma 4 2 3 6 4" xfId="10073" xr:uid="{90BAD9C1-144A-46BC-BE85-C073F9EF38D2}"/>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231CD11C-9A8E-4141-A50B-A74008E13703}"/>
    <cellStyle name="Comma 4 2 3 7 2 3" xfId="12631" xr:uid="{DD115497-9E27-42D4-B9D2-EED96AAA3FAC}"/>
    <cellStyle name="Comma 4 2 3 7 3" xfId="6262" xr:uid="{00000000-0005-0000-0000-0000B0080000}"/>
    <cellStyle name="Comma 4 2 3 7 3 2" xfId="14704" xr:uid="{0B95C9C4-1BB2-4E3F-AB43-885178E98A03}"/>
    <cellStyle name="Comma 4 2 3 7 4" xfId="10486" xr:uid="{058BE808-8FBC-4E5A-864A-33396A48E526}"/>
    <cellStyle name="Comma 4 2 3 8" xfId="2390" xr:uid="{00000000-0005-0000-0000-0000B1080000}"/>
    <cellStyle name="Comma 4 2 3 8 2" xfId="6675" xr:uid="{00000000-0005-0000-0000-0000B2080000}"/>
    <cellStyle name="Comma 4 2 3 8 2 2" xfId="15117" xr:uid="{B248B7FF-4413-4CDA-B416-531D7CE5BCF1}"/>
    <cellStyle name="Comma 4 2 3 8 3" xfId="10899" xr:uid="{E45891E1-781C-4E02-A8B7-48C587351E62}"/>
    <cellStyle name="Comma 4 2 3 9" xfId="2373" xr:uid="{00000000-0005-0000-0000-0000B3080000}"/>
    <cellStyle name="Comma 4 2 4" xfId="140" xr:uid="{00000000-0005-0000-0000-0000B4080000}"/>
    <cellStyle name="Comma 4 2 4 10" xfId="4613" xr:uid="{00000000-0005-0000-0000-0000B5080000}"/>
    <cellStyle name="Comma 4 2 4 10 2" xfId="13055" xr:uid="{35104F92-E23A-4008-8BB2-14DD6DC5DA7B}"/>
    <cellStyle name="Comma 4 2 4 11" xfId="8837" xr:uid="{5B874D6B-1B1C-4073-8135-30FF12987F5E}"/>
    <cellStyle name="Comma 4 2 4 2" xfId="141" xr:uid="{00000000-0005-0000-0000-0000B6080000}"/>
    <cellStyle name="Comma 4 2 4 2 10" xfId="8838" xr:uid="{94915E28-1AE7-4D4D-9798-1E333CE1FB2D}"/>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0C70B1E2-D0BF-4B7E-9C29-A2F7DE51E5F3}"/>
    <cellStyle name="Comma 4 2 4 2 2 2 3" xfId="11397" xr:uid="{48712C3A-347E-442A-979E-30EE07A3BADA}"/>
    <cellStyle name="Comma 4 2 4 2 2 3" xfId="5028" xr:uid="{00000000-0005-0000-0000-0000BA080000}"/>
    <cellStyle name="Comma 4 2 4 2 2 3 2" xfId="13470" xr:uid="{5C6F59BB-2F2E-4769-A871-598212C6F8AF}"/>
    <cellStyle name="Comma 4 2 4 2 2 4" xfId="9252" xr:uid="{639C7CAA-A7EE-4C51-8BC0-17D179D06A5E}"/>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E93E703E-ADB3-4537-92F2-3E023D6AA84B}"/>
    <cellStyle name="Comma 4 2 4 2 3 2 3" xfId="11810" xr:uid="{E0E8A4B4-B375-40E8-95DF-BD6B4491D2AE}"/>
    <cellStyle name="Comma 4 2 4 2 3 3" xfId="5441" xr:uid="{00000000-0005-0000-0000-0000BE080000}"/>
    <cellStyle name="Comma 4 2 4 2 3 3 2" xfId="13883" xr:uid="{B3F4E929-4972-4DB3-BE92-FD6814B2A55B}"/>
    <cellStyle name="Comma 4 2 4 2 3 4" xfId="9665" xr:uid="{8400B4E6-16D3-4FCD-8EF9-E4F952287E4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DBB35501-5359-4B9D-8296-9D5CDEEAF105}"/>
    <cellStyle name="Comma 4 2 4 2 4 2 3" xfId="12223" xr:uid="{2A3D9F90-E304-4E81-AABC-16DAABE30280}"/>
    <cellStyle name="Comma 4 2 4 2 4 3" xfId="5854" xr:uid="{00000000-0005-0000-0000-0000C2080000}"/>
    <cellStyle name="Comma 4 2 4 2 4 3 2" xfId="14296" xr:uid="{2B5D6191-267D-403E-B0D6-1D2E62950AAF}"/>
    <cellStyle name="Comma 4 2 4 2 4 4" xfId="10078" xr:uid="{EF27B714-405F-4AFB-82AB-8670B64180AE}"/>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88B23B0D-19E5-4D22-9442-63217DE01949}"/>
    <cellStyle name="Comma 4 2 4 2 5 2 3" xfId="12636" xr:uid="{B8BC26C8-7D59-4861-8B4A-96D23B65D012}"/>
    <cellStyle name="Comma 4 2 4 2 5 3" xfId="6267" xr:uid="{00000000-0005-0000-0000-0000C6080000}"/>
    <cellStyle name="Comma 4 2 4 2 5 3 2" xfId="14709" xr:uid="{1894C753-14ED-40E8-8B13-34E509471C2B}"/>
    <cellStyle name="Comma 4 2 4 2 5 4" xfId="10491" xr:uid="{090526EE-785C-4D54-8DD5-21456E454A34}"/>
    <cellStyle name="Comma 4 2 4 2 6" xfId="2395" xr:uid="{00000000-0005-0000-0000-0000C7080000}"/>
    <cellStyle name="Comma 4 2 4 2 6 2" xfId="6680" xr:uid="{00000000-0005-0000-0000-0000C8080000}"/>
    <cellStyle name="Comma 4 2 4 2 6 2 2" xfId="15122" xr:uid="{4513C11E-839F-48E4-A8A9-550B6A1AF00C}"/>
    <cellStyle name="Comma 4 2 4 2 6 3" xfId="10904" xr:uid="{5B64328A-A169-4E66-BD21-F4D2CEC54F4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8375DB7A-C6E1-4978-8482-12B0E4FE6BB8}"/>
    <cellStyle name="Comma 4 2 4 2 8 3" xfId="11221" xr:uid="{797F22AD-6C39-42A5-8DCE-9D2B1245C2B3}"/>
    <cellStyle name="Comma 4 2 4 2 9" xfId="4614" xr:uid="{00000000-0005-0000-0000-0000CC080000}"/>
    <cellStyle name="Comma 4 2 4 2 9 2" xfId="13056" xr:uid="{FB78A521-E033-4B33-A211-79CC3A49BBB2}"/>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3F04329B-1341-4F86-B653-EAAFCB0465D4}"/>
    <cellStyle name="Comma 4 2 4 3 2 3" xfId="11396" xr:uid="{6C2C7D45-AB6C-40ED-9DD4-F0D863BAD29D}"/>
    <cellStyle name="Comma 4 2 4 3 3" xfId="5027" xr:uid="{00000000-0005-0000-0000-0000D0080000}"/>
    <cellStyle name="Comma 4 2 4 3 3 2" xfId="13469" xr:uid="{973FAA08-727C-4F7B-8FD9-911B9A67DC86}"/>
    <cellStyle name="Comma 4 2 4 3 4" xfId="9251" xr:uid="{3A5F8D40-86FE-40BC-A8D5-CEB9B027C3A0}"/>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919DA5E8-DBC3-4D17-B372-DAD0171D717A}"/>
    <cellStyle name="Comma 4 2 4 4 2 3" xfId="11809" xr:uid="{CE17FF52-0395-421E-8DDE-CBE293B980D6}"/>
    <cellStyle name="Comma 4 2 4 4 3" xfId="5440" xr:uid="{00000000-0005-0000-0000-0000D4080000}"/>
    <cellStyle name="Comma 4 2 4 4 3 2" xfId="13882" xr:uid="{63496CE2-4C2A-47A8-8F72-E94900C496C1}"/>
    <cellStyle name="Comma 4 2 4 4 4" xfId="9664" xr:uid="{CB0B9171-3C0F-4FEC-BEF9-AE2CF657B615}"/>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4DE385F5-19A7-4305-BE50-3F8B01B06713}"/>
    <cellStyle name="Comma 4 2 4 5 2 3" xfId="12222" xr:uid="{39E4EA47-FDAB-4A71-A4CB-7E662E55C183}"/>
    <cellStyle name="Comma 4 2 4 5 3" xfId="5853" xr:uid="{00000000-0005-0000-0000-0000D8080000}"/>
    <cellStyle name="Comma 4 2 4 5 3 2" xfId="14295" xr:uid="{FF8967E8-C251-480E-B170-F1489ADC3AE9}"/>
    <cellStyle name="Comma 4 2 4 5 4" xfId="10077" xr:uid="{35AA9F1F-FADA-42EC-9379-3A3DFBC78A65}"/>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59B69782-0AE0-48FD-8F45-F4D82B0EDFCE}"/>
    <cellStyle name="Comma 4 2 4 6 2 3" xfId="12635" xr:uid="{793F57AE-0003-492C-BA32-474B8C96C6E1}"/>
    <cellStyle name="Comma 4 2 4 6 3" xfId="6266" xr:uid="{00000000-0005-0000-0000-0000DC080000}"/>
    <cellStyle name="Comma 4 2 4 6 3 2" xfId="14708" xr:uid="{4172E589-9094-4C7C-972B-CB5E026F4BDC}"/>
    <cellStyle name="Comma 4 2 4 6 4" xfId="10490" xr:uid="{BCFDAC2E-B1C2-42BB-9A1B-59155BB9C348}"/>
    <cellStyle name="Comma 4 2 4 7" xfId="2394" xr:uid="{00000000-0005-0000-0000-0000DD080000}"/>
    <cellStyle name="Comma 4 2 4 7 2" xfId="6679" xr:uid="{00000000-0005-0000-0000-0000DE080000}"/>
    <cellStyle name="Comma 4 2 4 7 2 2" xfId="15121" xr:uid="{182EC00E-EE0A-4D21-8BFA-A3825578EB1F}"/>
    <cellStyle name="Comma 4 2 4 7 3" xfId="10903" xr:uid="{B2FDC850-B705-4D59-A127-F53478B5F496}"/>
    <cellStyle name="Comma 4 2 4 8" xfId="2369" xr:uid="{00000000-0005-0000-0000-0000DF080000}"/>
    <cellStyle name="Comma 4 2 4 9" xfId="2772" xr:uid="{00000000-0005-0000-0000-0000E0080000}"/>
    <cellStyle name="Comma 4 2 4 9 2" xfId="6996" xr:uid="{00000000-0005-0000-0000-0000E1080000}"/>
    <cellStyle name="Comma 4 2 4 9 2 2" xfId="15438" xr:uid="{F74DFAEE-B2EA-48F4-9BD4-C35008355AB6}"/>
    <cellStyle name="Comma 4 2 4 9 3" xfId="11220" xr:uid="{3CE0F125-5138-4B16-A42F-C73960599D1C}"/>
    <cellStyle name="Comma 4 2 5" xfId="142" xr:uid="{00000000-0005-0000-0000-0000E2080000}"/>
    <cellStyle name="Comma 4 2 5 10" xfId="8839" xr:uid="{F103B222-078B-48B2-A4C5-71A4B5AC4E26}"/>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A5DF0314-DCE2-4DD5-A788-638F7271C852}"/>
    <cellStyle name="Comma 4 2 5 2 2 3" xfId="11398" xr:uid="{8F092478-663E-4622-A622-3D0B64EABBBA}"/>
    <cellStyle name="Comma 4 2 5 2 3" xfId="5029" xr:uid="{00000000-0005-0000-0000-0000E6080000}"/>
    <cellStyle name="Comma 4 2 5 2 3 2" xfId="13471" xr:uid="{8755610B-8AC1-41C6-952D-B5C0EE2A7BBD}"/>
    <cellStyle name="Comma 4 2 5 2 4" xfId="9253" xr:uid="{A34B0604-9A8D-46C0-9DFE-870D355AD34B}"/>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D06E099E-9550-4210-AF42-8E00AF8626F9}"/>
    <cellStyle name="Comma 4 2 5 3 2 3" xfId="11811" xr:uid="{AF62146C-58E4-4C5E-BD1B-11329D0E239C}"/>
    <cellStyle name="Comma 4 2 5 3 3" xfId="5442" xr:uid="{00000000-0005-0000-0000-0000EA080000}"/>
    <cellStyle name="Comma 4 2 5 3 3 2" xfId="13884" xr:uid="{9E9F3812-E4A3-4251-A60B-BEDD410F1584}"/>
    <cellStyle name="Comma 4 2 5 3 4" xfId="9666" xr:uid="{AA74EDFD-4FFF-43E6-802B-2D8F14ECFB26}"/>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1CE1D780-C331-4A1B-B94A-21489E556111}"/>
    <cellStyle name="Comma 4 2 5 4 2 3" xfId="12224" xr:uid="{4312AC79-398D-4244-8766-6A2AC0BD093D}"/>
    <cellStyle name="Comma 4 2 5 4 3" xfId="5855" xr:uid="{00000000-0005-0000-0000-0000EE080000}"/>
    <cellStyle name="Comma 4 2 5 4 3 2" xfId="14297" xr:uid="{1228B879-DD24-4CB2-92A1-56D603A5449C}"/>
    <cellStyle name="Comma 4 2 5 4 4" xfId="10079" xr:uid="{1A301101-FF74-446A-8A2B-8B9227FCA34A}"/>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17A56090-1CAC-40A9-8B9E-22E3DD5F50DE}"/>
    <cellStyle name="Comma 4 2 5 5 2 3" xfId="12637" xr:uid="{ADE16E00-AD69-43E7-AF44-210A0CC285EC}"/>
    <cellStyle name="Comma 4 2 5 5 3" xfId="6268" xr:uid="{00000000-0005-0000-0000-0000F2080000}"/>
    <cellStyle name="Comma 4 2 5 5 3 2" xfId="14710" xr:uid="{7461E531-80D8-410A-AAB6-D5562165FBE9}"/>
    <cellStyle name="Comma 4 2 5 5 4" xfId="10492" xr:uid="{29E3EE4F-40C1-4E75-BFC6-B34E52770773}"/>
    <cellStyle name="Comma 4 2 5 6" xfId="2396" xr:uid="{00000000-0005-0000-0000-0000F3080000}"/>
    <cellStyle name="Comma 4 2 5 6 2" xfId="6681" xr:uid="{00000000-0005-0000-0000-0000F4080000}"/>
    <cellStyle name="Comma 4 2 5 6 2 2" xfId="15123" xr:uid="{844C11A5-7803-4F64-AF83-CDB46F276A17}"/>
    <cellStyle name="Comma 4 2 5 6 3" xfId="10905" xr:uid="{7729A52B-43AF-4564-8C2B-F204442A6209}"/>
    <cellStyle name="Comma 4 2 5 7" xfId="2367" xr:uid="{00000000-0005-0000-0000-0000F5080000}"/>
    <cellStyle name="Comma 4 2 5 8" xfId="2774" xr:uid="{00000000-0005-0000-0000-0000F6080000}"/>
    <cellStyle name="Comma 4 2 5 8 2" xfId="6998" xr:uid="{00000000-0005-0000-0000-0000F7080000}"/>
    <cellStyle name="Comma 4 2 5 8 2 2" xfId="15440" xr:uid="{73F49DD9-002F-4D9D-8721-A4316826B900}"/>
    <cellStyle name="Comma 4 2 5 8 3" xfId="11222" xr:uid="{EC07EC39-C139-4551-A639-C42C9BD19322}"/>
    <cellStyle name="Comma 4 2 5 9" xfId="4615" xr:uid="{00000000-0005-0000-0000-0000F8080000}"/>
    <cellStyle name="Comma 4 2 5 9 2" xfId="13057" xr:uid="{D8F71938-39A0-415C-9E64-C2DF1A39D633}"/>
    <cellStyle name="Comma 4 2 6" xfId="143" xr:uid="{00000000-0005-0000-0000-0000F9080000}"/>
    <cellStyle name="Comma 4 2 6 10" xfId="8840" xr:uid="{934E1805-F614-48D6-92F6-C82922829F2E}"/>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289A1D84-E510-4DDF-B5B1-CD277B66F5F3}"/>
    <cellStyle name="Comma 4 2 6 2 2 3" xfId="11399" xr:uid="{50FEDF07-7B8E-4337-87BE-84A7B9C528BD}"/>
    <cellStyle name="Comma 4 2 6 2 3" xfId="5030" xr:uid="{00000000-0005-0000-0000-0000FD080000}"/>
    <cellStyle name="Comma 4 2 6 2 3 2" xfId="13472" xr:uid="{A0017DC1-60D8-47BB-B0C8-33776A9701CF}"/>
    <cellStyle name="Comma 4 2 6 2 4" xfId="9254" xr:uid="{1C0794E4-26AA-491C-84F6-E9A8515E5931}"/>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FE364B7F-3D8A-46F8-9C98-A0BE19C47BDD}"/>
    <cellStyle name="Comma 4 2 6 3 2 3" xfId="11812" xr:uid="{FE97C57C-D5D1-4B39-BE1D-B526D47AFF87}"/>
    <cellStyle name="Comma 4 2 6 3 3" xfId="5443" xr:uid="{00000000-0005-0000-0000-000001090000}"/>
    <cellStyle name="Comma 4 2 6 3 3 2" xfId="13885" xr:uid="{FD5F0B2F-5303-49A6-83D0-D0CEC0A07164}"/>
    <cellStyle name="Comma 4 2 6 3 4" xfId="9667" xr:uid="{DCF4FE8D-4AB9-4781-8D75-0F7988CF02A4}"/>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81F82ABA-1A16-408C-858F-1712500A2377}"/>
    <cellStyle name="Comma 4 2 6 4 2 3" xfId="12225" xr:uid="{456BD985-3E9D-4BD0-A8E5-891FD317F3FB}"/>
    <cellStyle name="Comma 4 2 6 4 3" xfId="5856" xr:uid="{00000000-0005-0000-0000-000005090000}"/>
    <cellStyle name="Comma 4 2 6 4 3 2" xfId="14298" xr:uid="{D555C542-8640-41A3-8F0F-9100D7A8D3EC}"/>
    <cellStyle name="Comma 4 2 6 4 4" xfId="10080" xr:uid="{4F4A2648-6DCF-4602-98D1-2A6F285B74D5}"/>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084E6DC8-2DE6-483B-8249-1F46E9AC1555}"/>
    <cellStyle name="Comma 4 2 6 5 2 3" xfId="12638" xr:uid="{2BCB756F-86E7-4BFD-BBCA-0BF1EF472101}"/>
    <cellStyle name="Comma 4 2 6 5 3" xfId="6269" xr:uid="{00000000-0005-0000-0000-000009090000}"/>
    <cellStyle name="Comma 4 2 6 5 3 2" xfId="14711" xr:uid="{D5A34A5A-80F1-431B-BCB0-2FD46A9AA25F}"/>
    <cellStyle name="Comma 4 2 6 5 4" xfId="10493" xr:uid="{E11A637B-87E6-483D-9C00-A2961B0F99D9}"/>
    <cellStyle name="Comma 4 2 6 6" xfId="2397" xr:uid="{00000000-0005-0000-0000-00000A090000}"/>
    <cellStyle name="Comma 4 2 6 6 2" xfId="6682" xr:uid="{00000000-0005-0000-0000-00000B090000}"/>
    <cellStyle name="Comma 4 2 6 6 2 2" xfId="15124" xr:uid="{3DBE6379-02D9-4B20-86D3-CC02D589C261}"/>
    <cellStyle name="Comma 4 2 6 6 3" xfId="10906" xr:uid="{C00C4CAA-CF98-4C70-830B-33181A4F009D}"/>
    <cellStyle name="Comma 4 2 6 7" xfId="2366" xr:uid="{00000000-0005-0000-0000-00000C090000}"/>
    <cellStyle name="Comma 4 2 6 8" xfId="2775" xr:uid="{00000000-0005-0000-0000-00000D090000}"/>
    <cellStyle name="Comma 4 2 6 8 2" xfId="6999" xr:uid="{00000000-0005-0000-0000-00000E090000}"/>
    <cellStyle name="Comma 4 2 6 8 2 2" xfId="15441" xr:uid="{BF67F960-5E17-4E4E-9601-8205DAD43CC9}"/>
    <cellStyle name="Comma 4 2 6 8 3" xfId="11223" xr:uid="{D1F02C5E-D66B-49DF-A5F0-A9974121125F}"/>
    <cellStyle name="Comma 4 2 6 9" xfId="4616" xr:uid="{00000000-0005-0000-0000-00000F090000}"/>
    <cellStyle name="Comma 4 2 6 9 2" xfId="13058" xr:uid="{24574D90-E09A-4D3C-A94D-806FE0472F02}"/>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2D20B324-6ED2-4FBB-8173-27A6B59B833D}"/>
    <cellStyle name="Comma 4 3 2 10 3" xfId="11224" xr:uid="{73D9D209-8F7E-4C71-9A4B-046729074A9B}"/>
    <cellStyle name="Comma 4 3 2 11" xfId="4617" xr:uid="{00000000-0005-0000-0000-000014090000}"/>
    <cellStyle name="Comma 4 3 2 11 2" xfId="13059" xr:uid="{15A3C454-B4F5-4061-B800-3F3648ABD03B}"/>
    <cellStyle name="Comma 4 3 2 12" xfId="8841" xr:uid="{5E9B33A8-5736-4E26-8D2D-FD8A4499302C}"/>
    <cellStyle name="Comma 4 3 2 2" xfId="146" xr:uid="{00000000-0005-0000-0000-000015090000}"/>
    <cellStyle name="Comma 4 3 2 2 10" xfId="4618" xr:uid="{00000000-0005-0000-0000-000016090000}"/>
    <cellStyle name="Comma 4 3 2 2 10 2" xfId="13060" xr:uid="{714BFEEB-0C6F-4110-B915-709549C43A55}"/>
    <cellStyle name="Comma 4 3 2 2 11" xfId="8842" xr:uid="{6F66A560-C3C5-493A-9F4D-A149A3C52EEF}"/>
    <cellStyle name="Comma 4 3 2 2 2" xfId="147" xr:uid="{00000000-0005-0000-0000-000017090000}"/>
    <cellStyle name="Comma 4 3 2 2 2 10" xfId="8843" xr:uid="{96D4DADD-6634-4025-AE98-C6289D016685}"/>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4B4D2EF9-0DCD-4CFC-9BAB-98F31B8DA1CE}"/>
    <cellStyle name="Comma 4 3 2 2 2 2 2 3" xfId="11402" xr:uid="{42CBF998-B514-4D40-A124-324AFDC439B6}"/>
    <cellStyle name="Comma 4 3 2 2 2 2 3" xfId="5033" xr:uid="{00000000-0005-0000-0000-00001B090000}"/>
    <cellStyle name="Comma 4 3 2 2 2 2 3 2" xfId="13475" xr:uid="{BAC975B5-4CF1-4F81-A1E4-5C347D82F199}"/>
    <cellStyle name="Comma 4 3 2 2 2 2 4" xfId="9257" xr:uid="{4604228D-067D-4F21-ACC2-D9AFEDE9AC52}"/>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4B24E2FA-098B-4560-8B89-8B2F02D88A94}"/>
    <cellStyle name="Comma 4 3 2 2 2 3 2 3" xfId="11815" xr:uid="{AB900A78-3B5C-4700-900F-62EA9D4AED20}"/>
    <cellStyle name="Comma 4 3 2 2 2 3 3" xfId="5446" xr:uid="{00000000-0005-0000-0000-00001F090000}"/>
    <cellStyle name="Comma 4 3 2 2 2 3 3 2" xfId="13888" xr:uid="{F2D347B0-7546-4E13-81A6-DE2A53DAE4C3}"/>
    <cellStyle name="Comma 4 3 2 2 2 3 4" xfId="9670" xr:uid="{8697BE71-3C1D-4D3D-8360-8616FCA42407}"/>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81E7867F-4CE2-46F7-93CE-EC1FB1877847}"/>
    <cellStyle name="Comma 4 3 2 2 2 4 2 3" xfId="12228" xr:uid="{40956A86-65CA-4DF7-B200-4E2BB042D99E}"/>
    <cellStyle name="Comma 4 3 2 2 2 4 3" xfId="5859" xr:uid="{00000000-0005-0000-0000-000023090000}"/>
    <cellStyle name="Comma 4 3 2 2 2 4 3 2" xfId="14301" xr:uid="{7B33AA45-150B-4A54-951C-67636CEA2D4C}"/>
    <cellStyle name="Comma 4 3 2 2 2 4 4" xfId="10083" xr:uid="{CE00151E-24C8-48AD-8D14-44B6FB6DB4C5}"/>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8BBB0006-DB39-430F-A928-4FB481CE0FCF}"/>
    <cellStyle name="Comma 4 3 2 2 2 5 2 3" xfId="12641" xr:uid="{46418A8A-FF34-43DB-B535-2B6DFE6CE38C}"/>
    <cellStyle name="Comma 4 3 2 2 2 5 3" xfId="6272" xr:uid="{00000000-0005-0000-0000-000027090000}"/>
    <cellStyle name="Comma 4 3 2 2 2 5 3 2" xfId="14714" xr:uid="{E77C26A2-0D1E-413B-80A7-9A3FF391D23D}"/>
    <cellStyle name="Comma 4 3 2 2 2 5 4" xfId="10496" xr:uid="{19A231A9-98B5-480F-AC83-DB7244D42A58}"/>
    <cellStyle name="Comma 4 3 2 2 2 6" xfId="2400" xr:uid="{00000000-0005-0000-0000-000028090000}"/>
    <cellStyle name="Comma 4 3 2 2 2 6 2" xfId="6685" xr:uid="{00000000-0005-0000-0000-000029090000}"/>
    <cellStyle name="Comma 4 3 2 2 2 6 2 2" xfId="15127" xr:uid="{28E2EA6F-4D9A-4EAA-AEF7-D1DDA317EB12}"/>
    <cellStyle name="Comma 4 3 2 2 2 6 3" xfId="10909" xr:uid="{2B73CB08-3BB0-48F3-8A5D-BA5DD9FB8848}"/>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4686A0CB-0CC6-4EAA-8E53-47BA40A2C3D1}"/>
    <cellStyle name="Comma 4 3 2 2 2 8 3" xfId="11226" xr:uid="{3623A93C-A56E-4390-8128-72F9D45CBA06}"/>
    <cellStyle name="Comma 4 3 2 2 2 9" xfId="4619" xr:uid="{00000000-0005-0000-0000-00002D090000}"/>
    <cellStyle name="Comma 4 3 2 2 2 9 2" xfId="13061" xr:uid="{7B2D35C0-1292-4EDD-BFA2-BA257F9BD1C5}"/>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1FE1DE35-EE84-49A1-8E7B-5D67E78351A1}"/>
    <cellStyle name="Comma 4 3 2 2 3 2 3" xfId="11401" xr:uid="{17EAB34A-298E-4C73-AA2B-B3980BD28BA4}"/>
    <cellStyle name="Comma 4 3 2 2 3 3" xfId="5032" xr:uid="{00000000-0005-0000-0000-000031090000}"/>
    <cellStyle name="Comma 4 3 2 2 3 3 2" xfId="13474" xr:uid="{1012C5FC-ACDC-4BE4-81B0-85D331E4F2A7}"/>
    <cellStyle name="Comma 4 3 2 2 3 4" xfId="9256" xr:uid="{48B49C1C-8F78-4219-A47D-F24CE0661C59}"/>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64879B66-3E5E-400F-931A-F9A98B578377}"/>
    <cellStyle name="Comma 4 3 2 2 4 2 3" xfId="11814" xr:uid="{7CC2D566-A5A7-4D77-8FC6-534306F90704}"/>
    <cellStyle name="Comma 4 3 2 2 4 3" xfId="5445" xr:uid="{00000000-0005-0000-0000-000035090000}"/>
    <cellStyle name="Comma 4 3 2 2 4 3 2" xfId="13887" xr:uid="{65BE16DE-E42B-446B-96ED-057FCAF31D5A}"/>
    <cellStyle name="Comma 4 3 2 2 4 4" xfId="9669" xr:uid="{FA4D7A28-612A-4F7C-951A-4C99BD0FAF46}"/>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AFB82653-2E97-42E5-BA4A-0C3A3429DB1A}"/>
    <cellStyle name="Comma 4 3 2 2 5 2 3" xfId="12227" xr:uid="{4E17F6DA-3F15-403C-B45F-D191C7ED2E5F}"/>
    <cellStyle name="Comma 4 3 2 2 5 3" xfId="5858" xr:uid="{00000000-0005-0000-0000-000039090000}"/>
    <cellStyle name="Comma 4 3 2 2 5 3 2" xfId="14300" xr:uid="{DB9B6860-6294-42EF-BECA-E83EE6A13B78}"/>
    <cellStyle name="Comma 4 3 2 2 5 4" xfId="10082" xr:uid="{149F246D-42CA-487D-AD9E-05E021CCB99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41E1B0B-86CC-4383-B140-2A7EAD95065A}"/>
    <cellStyle name="Comma 4 3 2 2 6 2 3" xfId="12640" xr:uid="{F58A1D60-7B8E-47D5-BB21-4E0A7C557173}"/>
    <cellStyle name="Comma 4 3 2 2 6 3" xfId="6271" xr:uid="{00000000-0005-0000-0000-00003D090000}"/>
    <cellStyle name="Comma 4 3 2 2 6 3 2" xfId="14713" xr:uid="{89BC13E3-D40F-4DDF-8B4D-078ED1004C47}"/>
    <cellStyle name="Comma 4 3 2 2 6 4" xfId="10495" xr:uid="{077830BF-DC9A-42A1-9980-DA7BAAB5D05A}"/>
    <cellStyle name="Comma 4 3 2 2 7" xfId="2399" xr:uid="{00000000-0005-0000-0000-00003E090000}"/>
    <cellStyle name="Comma 4 3 2 2 7 2" xfId="6684" xr:uid="{00000000-0005-0000-0000-00003F090000}"/>
    <cellStyle name="Comma 4 3 2 2 7 2 2" xfId="15126" xr:uid="{0DC5FFBA-227E-4C0D-8C4E-405648C9EAC4}"/>
    <cellStyle name="Comma 4 3 2 2 7 3" xfId="10908" xr:uid="{8F9FF541-0955-4CA8-89BA-9812B9DFF809}"/>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AFE224C1-EEB2-40C2-AB04-73F92A07C987}"/>
    <cellStyle name="Comma 4 3 2 2 9 3" xfId="11225" xr:uid="{89516A60-4D59-4CFA-9201-3ADE9A76FEB5}"/>
    <cellStyle name="Comma 4 3 2 3" xfId="148" xr:uid="{00000000-0005-0000-0000-000043090000}"/>
    <cellStyle name="Comma 4 3 2 3 10" xfId="8844" xr:uid="{EEACE1DD-AF08-4038-872C-794FF6853C4B}"/>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8A0C505F-399D-4FE4-A1B0-92289B0A0DC6}"/>
    <cellStyle name="Comma 4 3 2 3 2 2 3" xfId="11403" xr:uid="{461D3DC1-B813-48A7-A9C1-6BDCD3D4C507}"/>
    <cellStyle name="Comma 4 3 2 3 2 3" xfId="5034" xr:uid="{00000000-0005-0000-0000-000047090000}"/>
    <cellStyle name="Comma 4 3 2 3 2 3 2" xfId="13476" xr:uid="{A19303A9-D257-44F9-AD0C-C41EB906837A}"/>
    <cellStyle name="Comma 4 3 2 3 2 4" xfId="9258" xr:uid="{3B6866B1-DBC5-4804-A6EE-9FE699831AF0}"/>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24820D8F-A4DA-4D68-9E02-32ACF8AA452B}"/>
    <cellStyle name="Comma 4 3 2 3 3 2 3" xfId="11816" xr:uid="{0FE0C296-3D5C-4BAE-B5E3-F4A66F580D79}"/>
    <cellStyle name="Comma 4 3 2 3 3 3" xfId="5447" xr:uid="{00000000-0005-0000-0000-00004B090000}"/>
    <cellStyle name="Comma 4 3 2 3 3 3 2" xfId="13889" xr:uid="{DA032D05-AE71-48F4-BDDE-DABDBD0FB102}"/>
    <cellStyle name="Comma 4 3 2 3 3 4" xfId="9671" xr:uid="{BB296AEA-64BC-4722-B587-1A7DFEE59F3E}"/>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2D279A8C-7AC1-4134-97AF-E0247ED21E4E}"/>
    <cellStyle name="Comma 4 3 2 3 4 2 3" xfId="12229" xr:uid="{3C8A82ED-FF07-4C38-8CC9-BC02A4BF2C6C}"/>
    <cellStyle name="Comma 4 3 2 3 4 3" xfId="5860" xr:uid="{00000000-0005-0000-0000-00004F090000}"/>
    <cellStyle name="Comma 4 3 2 3 4 3 2" xfId="14302" xr:uid="{1F3C95E0-1DFE-4DE3-96A7-027A4B822A78}"/>
    <cellStyle name="Comma 4 3 2 3 4 4" xfId="10084" xr:uid="{5EF92040-53B9-41C4-9AD3-520EAF2DF980}"/>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53FA2B85-6D7B-4716-AC36-E764E4127E11}"/>
    <cellStyle name="Comma 4 3 2 3 5 2 3" xfId="12642" xr:uid="{7E1382CD-341C-4000-A110-822093FC1DBA}"/>
    <cellStyle name="Comma 4 3 2 3 5 3" xfId="6273" xr:uid="{00000000-0005-0000-0000-000053090000}"/>
    <cellStyle name="Comma 4 3 2 3 5 3 2" xfId="14715" xr:uid="{E8BC6275-104F-4736-A978-84FD4A9B08CD}"/>
    <cellStyle name="Comma 4 3 2 3 5 4" xfId="10497" xr:uid="{019E0527-F3E1-4C99-927D-5A8517773189}"/>
    <cellStyle name="Comma 4 3 2 3 6" xfId="2401" xr:uid="{00000000-0005-0000-0000-000054090000}"/>
    <cellStyle name="Comma 4 3 2 3 6 2" xfId="6686" xr:uid="{00000000-0005-0000-0000-000055090000}"/>
    <cellStyle name="Comma 4 3 2 3 6 2 2" xfId="15128" xr:uid="{2CA8E82D-DE09-4993-8A0B-41DA041DD552}"/>
    <cellStyle name="Comma 4 3 2 3 6 3" xfId="10910" xr:uid="{46562767-706C-4A8A-9BD6-FCA419A34D48}"/>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22AE4EF9-004D-4672-A0CA-9D87929F9C51}"/>
    <cellStyle name="Comma 4 3 2 3 8 3" xfId="11227" xr:uid="{2894099A-A6F8-404D-9F1A-4390E7C0DE2F}"/>
    <cellStyle name="Comma 4 3 2 3 9" xfId="4620" xr:uid="{00000000-0005-0000-0000-000059090000}"/>
    <cellStyle name="Comma 4 3 2 3 9 2" xfId="13062" xr:uid="{7A019ED2-FE15-45DA-B3C5-A421577D735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CDB01AF8-2BDC-49C4-908A-59B8E029BD27}"/>
    <cellStyle name="Comma 4 3 2 4 2 3" xfId="11400" xr:uid="{DA8153E3-F10D-425C-8292-92A1180D98A4}"/>
    <cellStyle name="Comma 4 3 2 4 3" xfId="5031" xr:uid="{00000000-0005-0000-0000-00005D090000}"/>
    <cellStyle name="Comma 4 3 2 4 3 2" xfId="13473" xr:uid="{9C1C101D-9705-4E36-B81C-9DAE72FA6618}"/>
    <cellStyle name="Comma 4 3 2 4 4" xfId="9255" xr:uid="{E3292851-0F14-43A4-8711-4A334EC3468B}"/>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C4A2ED2E-E25C-475C-B6E5-097FA22163E3}"/>
    <cellStyle name="Comma 4 3 2 5 2 3" xfId="11813" xr:uid="{A87BADCC-38A6-4369-9639-AB54F68C22FD}"/>
    <cellStyle name="Comma 4 3 2 5 3" xfId="5444" xr:uid="{00000000-0005-0000-0000-000061090000}"/>
    <cellStyle name="Comma 4 3 2 5 3 2" xfId="13886" xr:uid="{6A9EDD0C-2992-4AEB-9D14-01E795AAAEB8}"/>
    <cellStyle name="Comma 4 3 2 5 4" xfId="9668" xr:uid="{319C9178-9CED-4D7C-9D5A-6364D9C50DD3}"/>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76888CC8-E72F-48D3-8E57-783EEDAEB525}"/>
    <cellStyle name="Comma 4 3 2 6 2 3" xfId="12226" xr:uid="{5D94BEDF-D94C-4ED1-9949-14D9D339D01E}"/>
    <cellStyle name="Comma 4 3 2 6 3" xfId="5857" xr:uid="{00000000-0005-0000-0000-000065090000}"/>
    <cellStyle name="Comma 4 3 2 6 3 2" xfId="14299" xr:uid="{E678200B-A700-4CB4-9BA4-051C2CC8E128}"/>
    <cellStyle name="Comma 4 3 2 6 4" xfId="10081" xr:uid="{27C67475-121C-4382-8EB0-9CA7DB92DE6D}"/>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17554A3C-4355-4C83-860D-602B86BB16B5}"/>
    <cellStyle name="Comma 4 3 2 7 2 3" xfId="12639" xr:uid="{C1C6F567-4351-43D9-9943-97FA6F73C92E}"/>
    <cellStyle name="Comma 4 3 2 7 3" xfId="6270" xr:uid="{00000000-0005-0000-0000-000069090000}"/>
    <cellStyle name="Comma 4 3 2 7 3 2" xfId="14712" xr:uid="{F8D1F879-E267-406D-920C-23FF89EC069C}"/>
    <cellStyle name="Comma 4 3 2 7 4" xfId="10494" xr:uid="{F0BF75B9-1F6E-49A2-932D-7DBD223648B6}"/>
    <cellStyle name="Comma 4 3 2 8" xfId="2398" xr:uid="{00000000-0005-0000-0000-00006A090000}"/>
    <cellStyle name="Comma 4 3 2 8 2" xfId="6683" xr:uid="{00000000-0005-0000-0000-00006B090000}"/>
    <cellStyle name="Comma 4 3 2 8 2 2" xfId="15125" xr:uid="{32C9DEEE-33F2-40AF-94D6-F1DF4E5C51DB}"/>
    <cellStyle name="Comma 4 3 2 8 3" xfId="10907" xr:uid="{ED852417-1C52-4E62-ABB4-E17CC3C4EBEC}"/>
    <cellStyle name="Comma 4 3 2 9" xfId="2365" xr:uid="{00000000-0005-0000-0000-00006C090000}"/>
    <cellStyle name="Comma 4 3 3" xfId="149" xr:uid="{00000000-0005-0000-0000-00006D090000}"/>
    <cellStyle name="Comma 4 3 3 10" xfId="4621" xr:uid="{00000000-0005-0000-0000-00006E090000}"/>
    <cellStyle name="Comma 4 3 3 10 2" xfId="13063" xr:uid="{DCF93299-FD70-4D1C-84C4-39835EA71D62}"/>
    <cellStyle name="Comma 4 3 3 11" xfId="8845" xr:uid="{FB177EA6-FB73-43B4-8483-A478D6DF280C}"/>
    <cellStyle name="Comma 4 3 3 2" xfId="150" xr:uid="{00000000-0005-0000-0000-00006F090000}"/>
    <cellStyle name="Comma 4 3 3 2 10" xfId="8846" xr:uid="{2A254A54-AA89-4827-A54E-5CE8B88CBF49}"/>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32B1A7D3-66A8-4332-85AB-EE34A10EFF18}"/>
    <cellStyle name="Comma 4 3 3 2 2 2 3" xfId="11405" xr:uid="{46DBCA3F-60C7-44FD-8FD0-AA87ED346400}"/>
    <cellStyle name="Comma 4 3 3 2 2 3" xfId="5036" xr:uid="{00000000-0005-0000-0000-000073090000}"/>
    <cellStyle name="Comma 4 3 3 2 2 3 2" xfId="13478" xr:uid="{E72FEE5B-76EE-4192-AAC8-60470B6C3AD5}"/>
    <cellStyle name="Comma 4 3 3 2 2 4" xfId="9260" xr:uid="{0518E87D-D2C9-4D29-8A66-56CDA3C3AD7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6E487D5C-A9D3-4FAE-B25E-2B5B37CB1D79}"/>
    <cellStyle name="Comma 4 3 3 2 3 2 3" xfId="11818" xr:uid="{29758187-A544-41D6-9F14-DB0276112644}"/>
    <cellStyle name="Comma 4 3 3 2 3 3" xfId="5449" xr:uid="{00000000-0005-0000-0000-000077090000}"/>
    <cellStyle name="Comma 4 3 3 2 3 3 2" xfId="13891" xr:uid="{34382D72-4A1C-482D-8E0A-CA7006BF45D5}"/>
    <cellStyle name="Comma 4 3 3 2 3 4" xfId="9673" xr:uid="{FB7B5B45-FD7E-4DC4-ADCE-C64AC821599C}"/>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1B6625C8-372B-44F9-9668-E3B68A66A45B}"/>
    <cellStyle name="Comma 4 3 3 2 4 2 3" xfId="12231" xr:uid="{6B4C3C28-132F-4FA6-8ACB-AD99939B2F0B}"/>
    <cellStyle name="Comma 4 3 3 2 4 3" xfId="5862" xr:uid="{00000000-0005-0000-0000-00007B090000}"/>
    <cellStyle name="Comma 4 3 3 2 4 3 2" xfId="14304" xr:uid="{A3BF8C1F-E0C7-491D-8D27-F406B5365688}"/>
    <cellStyle name="Comma 4 3 3 2 4 4" xfId="10086" xr:uid="{D64E4EBE-C9B7-4ABC-9CDA-E971E58B162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ABDE1254-58AD-45B2-8ACC-8575CDF6D447}"/>
    <cellStyle name="Comma 4 3 3 2 5 2 3" xfId="12644" xr:uid="{AEFFC126-EECF-49C4-BC42-C4B218C013B3}"/>
    <cellStyle name="Comma 4 3 3 2 5 3" xfId="6275" xr:uid="{00000000-0005-0000-0000-00007F090000}"/>
    <cellStyle name="Comma 4 3 3 2 5 3 2" xfId="14717" xr:uid="{7651E649-93D1-4780-875F-83D5FC8CA52A}"/>
    <cellStyle name="Comma 4 3 3 2 5 4" xfId="10499" xr:uid="{B13CD7F0-FBF1-4EE8-B8D1-EDD710FC7CF7}"/>
    <cellStyle name="Comma 4 3 3 2 6" xfId="2403" xr:uid="{00000000-0005-0000-0000-000080090000}"/>
    <cellStyle name="Comma 4 3 3 2 6 2" xfId="6688" xr:uid="{00000000-0005-0000-0000-000081090000}"/>
    <cellStyle name="Comma 4 3 3 2 6 2 2" xfId="15130" xr:uid="{C9AA99A8-5B96-40D2-BECC-C00832BD1DAA}"/>
    <cellStyle name="Comma 4 3 3 2 6 3" xfId="10912" xr:uid="{796F3010-3D04-4F43-B597-56B72EC835C6}"/>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7C90E0EF-1F7A-463D-8678-A1B637644BC7}"/>
    <cellStyle name="Comma 4 3 3 2 8 3" xfId="11229" xr:uid="{7681889C-0C10-4603-A140-BAD22E021BC4}"/>
    <cellStyle name="Comma 4 3 3 2 9" xfId="4622" xr:uid="{00000000-0005-0000-0000-000085090000}"/>
    <cellStyle name="Comma 4 3 3 2 9 2" xfId="13064" xr:uid="{67012BCA-129B-4D3C-8538-84BE17C65B2D}"/>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EDA2BB7D-186C-4DF3-97C1-C0887CCB6221}"/>
    <cellStyle name="Comma 4 3 3 3 2 3" xfId="11404" xr:uid="{F3DE8604-DD14-442C-974C-4903250AF12B}"/>
    <cellStyle name="Comma 4 3 3 3 3" xfId="5035" xr:uid="{00000000-0005-0000-0000-000089090000}"/>
    <cellStyle name="Comma 4 3 3 3 3 2" xfId="13477" xr:uid="{0CC244FA-C7EC-4230-AE00-A664BC5EDC19}"/>
    <cellStyle name="Comma 4 3 3 3 4" xfId="9259" xr:uid="{094A8AD2-054C-4AB2-878D-C1A9D4A28DCD}"/>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1522998E-CF87-4D5A-9332-8AAA8DD2F004}"/>
    <cellStyle name="Comma 4 3 3 4 2 3" xfId="11817" xr:uid="{F85C949A-2E39-4F98-AA82-401789D89AAD}"/>
    <cellStyle name="Comma 4 3 3 4 3" xfId="5448" xr:uid="{00000000-0005-0000-0000-00008D090000}"/>
    <cellStyle name="Comma 4 3 3 4 3 2" xfId="13890" xr:uid="{3F71C780-8B0A-495F-9F20-619755FAD2AA}"/>
    <cellStyle name="Comma 4 3 3 4 4" xfId="9672" xr:uid="{823600BF-32A3-4D0B-A809-AE01834CDAAE}"/>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A53F002A-C14B-4ED6-ADAA-59BC90164C09}"/>
    <cellStyle name="Comma 4 3 3 5 2 3" xfId="12230" xr:uid="{32ACB86E-1482-4DDD-9599-AEE43BA9747C}"/>
    <cellStyle name="Comma 4 3 3 5 3" xfId="5861" xr:uid="{00000000-0005-0000-0000-000091090000}"/>
    <cellStyle name="Comma 4 3 3 5 3 2" xfId="14303" xr:uid="{B8BFECD5-AEFA-45B8-B7AE-9E82D9B57C90}"/>
    <cellStyle name="Comma 4 3 3 5 4" xfId="10085" xr:uid="{8B48562A-A5C9-4FFD-97FE-84B7F7E9F657}"/>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5A408024-55AA-486E-8FDB-89CCB6601A7F}"/>
    <cellStyle name="Comma 4 3 3 6 2 3" xfId="12643" xr:uid="{EDC44852-61F2-4FDF-B983-03A3960C6BD6}"/>
    <cellStyle name="Comma 4 3 3 6 3" xfId="6274" xr:uid="{00000000-0005-0000-0000-000095090000}"/>
    <cellStyle name="Comma 4 3 3 6 3 2" xfId="14716" xr:uid="{AC4D9EE2-CA4A-45A3-98D1-75E53CCA1AAC}"/>
    <cellStyle name="Comma 4 3 3 6 4" xfId="10498" xr:uid="{BD196A0B-F46A-4CC0-969E-3A5321A5FEE8}"/>
    <cellStyle name="Comma 4 3 3 7" xfId="2402" xr:uid="{00000000-0005-0000-0000-000096090000}"/>
    <cellStyle name="Comma 4 3 3 7 2" xfId="6687" xr:uid="{00000000-0005-0000-0000-000097090000}"/>
    <cellStyle name="Comma 4 3 3 7 2 2" xfId="15129" xr:uid="{1EA4A5AB-74BB-43F2-9675-4D6DD090C3CD}"/>
    <cellStyle name="Comma 4 3 3 7 3" xfId="10911" xr:uid="{D0C1C4DD-2F5A-4A59-ABE8-45014B87F95A}"/>
    <cellStyle name="Comma 4 3 3 8" xfId="2361" xr:uid="{00000000-0005-0000-0000-000098090000}"/>
    <cellStyle name="Comma 4 3 3 9" xfId="2780" xr:uid="{00000000-0005-0000-0000-000099090000}"/>
    <cellStyle name="Comma 4 3 3 9 2" xfId="7004" xr:uid="{00000000-0005-0000-0000-00009A090000}"/>
    <cellStyle name="Comma 4 3 3 9 2 2" xfId="15446" xr:uid="{D0A43589-11E5-448E-8763-422DDF4A9667}"/>
    <cellStyle name="Comma 4 3 3 9 3" xfId="11228" xr:uid="{DB47E741-5FED-4893-A072-7B28404689D0}"/>
    <cellStyle name="Comma 4 3 4" xfId="151" xr:uid="{00000000-0005-0000-0000-00009B090000}"/>
    <cellStyle name="Comma 4 3 4 10" xfId="8847" xr:uid="{78DC58DC-5BA2-40B1-BDBF-EBEC6312A629}"/>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6F091869-0899-4078-B7BA-CC6FA1C4A72C}"/>
    <cellStyle name="Comma 4 3 4 2 2 3" xfId="11406" xr:uid="{4DB0A724-7174-4100-A8F4-2916089DC726}"/>
    <cellStyle name="Comma 4 3 4 2 3" xfId="5037" xr:uid="{00000000-0005-0000-0000-00009F090000}"/>
    <cellStyle name="Comma 4 3 4 2 3 2" xfId="13479" xr:uid="{262C342E-E18D-486B-85DC-BFCE88E3F576}"/>
    <cellStyle name="Comma 4 3 4 2 4" xfId="9261" xr:uid="{E94B6E0C-689B-4ED4-9296-A70B29DEED29}"/>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A14DAB1E-0ED9-4FC8-A3A8-D2B25B0E4437}"/>
    <cellStyle name="Comma 4 3 4 3 2 3" xfId="11819" xr:uid="{A7C2DA13-6609-4385-BFB5-CAA2302BC1EC}"/>
    <cellStyle name="Comma 4 3 4 3 3" xfId="5450" xr:uid="{00000000-0005-0000-0000-0000A3090000}"/>
    <cellStyle name="Comma 4 3 4 3 3 2" xfId="13892" xr:uid="{C5915A3B-01F4-41E5-A2A4-843941AE2E63}"/>
    <cellStyle name="Comma 4 3 4 3 4" xfId="9674" xr:uid="{31DE668D-267C-4FA6-BD9E-5D03946F3E55}"/>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D46BEE4D-1653-4F45-BA36-CE1C2EEB9DF0}"/>
    <cellStyle name="Comma 4 3 4 4 2 3" xfId="12232" xr:uid="{37131289-537A-4BBF-8938-936A6E26073C}"/>
    <cellStyle name="Comma 4 3 4 4 3" xfId="5863" xr:uid="{00000000-0005-0000-0000-0000A7090000}"/>
    <cellStyle name="Comma 4 3 4 4 3 2" xfId="14305" xr:uid="{F62E6469-CDF8-4BAE-8D68-975E67181727}"/>
    <cellStyle name="Comma 4 3 4 4 4" xfId="10087" xr:uid="{DC962587-D1BD-46F8-8D1A-249B835F7982}"/>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2500123F-D691-4284-8933-9A8C27F3A8FC}"/>
    <cellStyle name="Comma 4 3 4 5 2 3" xfId="12645" xr:uid="{1BB02E95-6243-4847-A909-F97227FA4D70}"/>
    <cellStyle name="Comma 4 3 4 5 3" xfId="6276" xr:uid="{00000000-0005-0000-0000-0000AB090000}"/>
    <cellStyle name="Comma 4 3 4 5 3 2" xfId="14718" xr:uid="{188F4793-4432-4F6F-AC56-70E693FB30C3}"/>
    <cellStyle name="Comma 4 3 4 5 4" xfId="10500" xr:uid="{7406CB8E-C925-479A-A0C4-CCABBF277D23}"/>
    <cellStyle name="Comma 4 3 4 6" xfId="2404" xr:uid="{00000000-0005-0000-0000-0000AC090000}"/>
    <cellStyle name="Comma 4 3 4 6 2" xfId="6689" xr:uid="{00000000-0005-0000-0000-0000AD090000}"/>
    <cellStyle name="Comma 4 3 4 6 2 2" xfId="15131" xr:uid="{46D569F4-2904-4862-ABF5-01C9883448D8}"/>
    <cellStyle name="Comma 4 3 4 6 3" xfId="10913" xr:uid="{7DD4C27D-9125-4546-ABD2-E266D6516CD0}"/>
    <cellStyle name="Comma 4 3 4 7" xfId="2700" xr:uid="{00000000-0005-0000-0000-0000AE090000}"/>
    <cellStyle name="Comma 4 3 4 8" xfId="2782" xr:uid="{00000000-0005-0000-0000-0000AF090000}"/>
    <cellStyle name="Comma 4 3 4 8 2" xfId="7006" xr:uid="{00000000-0005-0000-0000-0000B0090000}"/>
    <cellStyle name="Comma 4 3 4 8 2 2" xfId="15448" xr:uid="{D18FC73A-8491-4BE1-AFEF-FFB2ADD30E84}"/>
    <cellStyle name="Comma 4 3 4 8 3" xfId="11230" xr:uid="{DA2AE745-81FA-438C-AD6B-AE9338C1736D}"/>
    <cellStyle name="Comma 4 3 4 9" xfId="4623" xr:uid="{00000000-0005-0000-0000-0000B1090000}"/>
    <cellStyle name="Comma 4 3 4 9 2" xfId="13065" xr:uid="{A0185D0E-EBBE-4BB6-971C-16552180E938}"/>
    <cellStyle name="Comma 4 3 5" xfId="152" xr:uid="{00000000-0005-0000-0000-0000B2090000}"/>
    <cellStyle name="Comma 4 3 5 10" xfId="8848" xr:uid="{8333908C-2548-48C6-A995-17437B412935}"/>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7492B641-8340-491F-8793-B4A0166C03E1}"/>
    <cellStyle name="Comma 4 3 5 2 2 3" xfId="11407" xr:uid="{3AAB4C62-D72A-41D8-BB55-53A4C3CEE940}"/>
    <cellStyle name="Comma 4 3 5 2 3" xfId="5038" xr:uid="{00000000-0005-0000-0000-0000B6090000}"/>
    <cellStyle name="Comma 4 3 5 2 3 2" xfId="13480" xr:uid="{402019CC-659B-4409-86C3-00AB5313DA92}"/>
    <cellStyle name="Comma 4 3 5 2 4" xfId="9262" xr:uid="{94BCDEDD-3C2A-4418-8134-6D45D585E9D1}"/>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6781614-8253-4E5E-9F4D-BB615AFD891D}"/>
    <cellStyle name="Comma 4 3 5 3 2 3" xfId="11820" xr:uid="{F3210255-09E7-4402-9AB1-36A89636DA62}"/>
    <cellStyle name="Comma 4 3 5 3 3" xfId="5451" xr:uid="{00000000-0005-0000-0000-0000BA090000}"/>
    <cellStyle name="Comma 4 3 5 3 3 2" xfId="13893" xr:uid="{3D82207B-E165-4671-9CC3-8314EAFA4FAA}"/>
    <cellStyle name="Comma 4 3 5 3 4" xfId="9675" xr:uid="{78CB28CA-5660-4DB6-BB2D-D2C3D973FC0B}"/>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C3888413-00FD-4F37-B299-B70036740614}"/>
    <cellStyle name="Comma 4 3 5 4 2 3" xfId="12233" xr:uid="{A13287E4-9239-412C-A132-8079C7094E3D}"/>
    <cellStyle name="Comma 4 3 5 4 3" xfId="5864" xr:uid="{00000000-0005-0000-0000-0000BE090000}"/>
    <cellStyle name="Comma 4 3 5 4 3 2" xfId="14306" xr:uid="{65364705-A38E-4068-884A-F8206A39ECD1}"/>
    <cellStyle name="Comma 4 3 5 4 4" xfId="10088" xr:uid="{F9A41E93-FC18-40A1-8DEF-08BB529AB329}"/>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9E82FBA4-B569-47EE-9248-11E8EDDF99E7}"/>
    <cellStyle name="Comma 4 3 5 5 2 3" xfId="12646" xr:uid="{02911E59-BF1F-45D5-BF04-1E186E0E4165}"/>
    <cellStyle name="Comma 4 3 5 5 3" xfId="6277" xr:uid="{00000000-0005-0000-0000-0000C2090000}"/>
    <cellStyle name="Comma 4 3 5 5 3 2" xfId="14719" xr:uid="{3271761F-E4A8-46A8-99FC-724A6AE34F5D}"/>
    <cellStyle name="Comma 4 3 5 5 4" xfId="10501" xr:uid="{2972699C-080F-4712-A9D4-E2B7878206AD}"/>
    <cellStyle name="Comma 4 3 5 6" xfId="2405" xr:uid="{00000000-0005-0000-0000-0000C3090000}"/>
    <cellStyle name="Comma 4 3 5 6 2" xfId="6690" xr:uid="{00000000-0005-0000-0000-0000C4090000}"/>
    <cellStyle name="Comma 4 3 5 6 2 2" xfId="15132" xr:uid="{77970CCC-B88F-47ED-B2A9-C5F5B91B769E}"/>
    <cellStyle name="Comma 4 3 5 6 3" xfId="10914" xr:uid="{FEB625C2-1EB2-4E58-8802-24DD3959F422}"/>
    <cellStyle name="Comma 4 3 5 7" xfId="2701" xr:uid="{00000000-0005-0000-0000-0000C5090000}"/>
    <cellStyle name="Comma 4 3 5 8" xfId="2783" xr:uid="{00000000-0005-0000-0000-0000C6090000}"/>
    <cellStyle name="Comma 4 3 5 8 2" xfId="7007" xr:uid="{00000000-0005-0000-0000-0000C7090000}"/>
    <cellStyle name="Comma 4 3 5 8 2 2" xfId="15449" xr:uid="{5A9F5C51-EE50-4ADE-B18A-96C4AE66DD98}"/>
    <cellStyle name="Comma 4 3 5 8 3" xfId="11231" xr:uid="{C734F0AF-0CC1-440A-89F7-CC7A99BDC725}"/>
    <cellStyle name="Comma 4 3 5 9" xfId="4624" xr:uid="{00000000-0005-0000-0000-0000C8090000}"/>
    <cellStyle name="Comma 4 3 5 9 2" xfId="13066" xr:uid="{6E8E1992-E280-4198-B761-5F9CF2483213}"/>
    <cellStyle name="Comma 4 4" xfId="153" xr:uid="{00000000-0005-0000-0000-0000C9090000}"/>
    <cellStyle name="Comma 4 4 10" xfId="2784" xr:uid="{00000000-0005-0000-0000-0000CA090000}"/>
    <cellStyle name="Comma 4 4 10 2" xfId="7008" xr:uid="{00000000-0005-0000-0000-0000CB090000}"/>
    <cellStyle name="Comma 4 4 10 2 2" xfId="15450" xr:uid="{B49B0555-4466-4B98-9EDB-D86FFFB2287C}"/>
    <cellStyle name="Comma 4 4 10 3" xfId="11232" xr:uid="{1220D89C-BE98-4840-90F3-D20CF83B2400}"/>
    <cellStyle name="Comma 4 4 11" xfId="4625" xr:uid="{00000000-0005-0000-0000-0000CC090000}"/>
    <cellStyle name="Comma 4 4 11 2" xfId="13067" xr:uid="{5CFE42AA-5496-4429-8AF8-BA431FC090C5}"/>
    <cellStyle name="Comma 4 4 12" xfId="8849" xr:uid="{66ADC4FA-8F5E-47C4-9835-172C0762DA1B}"/>
    <cellStyle name="Comma 4 4 2" xfId="154" xr:uid="{00000000-0005-0000-0000-0000CD090000}"/>
    <cellStyle name="Comma 4 4 2 10" xfId="4626" xr:uid="{00000000-0005-0000-0000-0000CE090000}"/>
    <cellStyle name="Comma 4 4 2 10 2" xfId="13068" xr:uid="{6B0A0CF1-819B-499C-A992-2B5F26B62C16}"/>
    <cellStyle name="Comma 4 4 2 11" xfId="8850" xr:uid="{3019F191-DC6E-4635-AC79-EE77624B2689}"/>
    <cellStyle name="Comma 4 4 2 2" xfId="155" xr:uid="{00000000-0005-0000-0000-0000CF090000}"/>
    <cellStyle name="Comma 4 4 2 2 10" xfId="8851" xr:uid="{2E71FF2F-4583-4F98-A17C-560E3A1D2997}"/>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FEEA1FDB-0884-4C19-863A-0555D526F021}"/>
    <cellStyle name="Comma 4 4 2 2 2 2 3" xfId="11410" xr:uid="{14F65289-5F3C-43DD-AAFD-D9207B0B4A9A}"/>
    <cellStyle name="Comma 4 4 2 2 2 3" xfId="5041" xr:uid="{00000000-0005-0000-0000-0000D3090000}"/>
    <cellStyle name="Comma 4 4 2 2 2 3 2" xfId="13483" xr:uid="{B7621D09-F3C9-4B73-81AC-ABB3DA8CA52D}"/>
    <cellStyle name="Comma 4 4 2 2 2 4" xfId="9265" xr:uid="{EC609F60-BAC1-47C6-A32C-B72A26B8C759}"/>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417445D6-A8B3-4E6F-A92C-D9D0CF4392AD}"/>
    <cellStyle name="Comma 4 4 2 2 3 2 3" xfId="11823" xr:uid="{3A7FC1FA-629A-4DA5-A40B-71AA8E18F683}"/>
    <cellStyle name="Comma 4 4 2 2 3 3" xfId="5454" xr:uid="{00000000-0005-0000-0000-0000D7090000}"/>
    <cellStyle name="Comma 4 4 2 2 3 3 2" xfId="13896" xr:uid="{A4466657-715E-4D87-AE48-CEFD524CB9CD}"/>
    <cellStyle name="Comma 4 4 2 2 3 4" xfId="9678" xr:uid="{10C0975D-C1FE-466E-9BDC-7F1846A7D5F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B9D9F545-CA89-4F7D-BA24-2288DDF1EA32}"/>
    <cellStyle name="Comma 4 4 2 2 4 2 3" xfId="12236" xr:uid="{B2077FB4-9169-4C57-9CF6-1F2EB2F1F86A}"/>
    <cellStyle name="Comma 4 4 2 2 4 3" xfId="5867" xr:uid="{00000000-0005-0000-0000-0000DB090000}"/>
    <cellStyle name="Comma 4 4 2 2 4 3 2" xfId="14309" xr:uid="{C6E40F12-2DD8-420F-94E0-3C26CAF87430}"/>
    <cellStyle name="Comma 4 4 2 2 4 4" xfId="10091" xr:uid="{126DAD4B-1268-46C5-8C7A-5F2E74ABD8F5}"/>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04BAD65F-F50D-4AB0-A33E-A89FDC1E5E0A}"/>
    <cellStyle name="Comma 4 4 2 2 5 2 3" xfId="12649" xr:uid="{F775590C-F5DD-4E6F-BDE7-9E5541CDE56E}"/>
    <cellStyle name="Comma 4 4 2 2 5 3" xfId="6280" xr:uid="{00000000-0005-0000-0000-0000DF090000}"/>
    <cellStyle name="Comma 4 4 2 2 5 3 2" xfId="14722" xr:uid="{BE06C951-A863-4274-8D5D-61A6F085E5B6}"/>
    <cellStyle name="Comma 4 4 2 2 5 4" xfId="10504" xr:uid="{534A592A-302E-41B0-97E7-9DE4B84551A2}"/>
    <cellStyle name="Comma 4 4 2 2 6" xfId="2408" xr:uid="{00000000-0005-0000-0000-0000E0090000}"/>
    <cellStyle name="Comma 4 4 2 2 6 2" xfId="6693" xr:uid="{00000000-0005-0000-0000-0000E1090000}"/>
    <cellStyle name="Comma 4 4 2 2 6 2 2" xfId="15135" xr:uid="{AF471746-3FA7-4DFE-99E8-C12D4D9B797C}"/>
    <cellStyle name="Comma 4 4 2 2 6 3" xfId="10917" xr:uid="{4A493C64-030C-456C-9509-C55E2EE653E6}"/>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3DAC2FE7-66C0-40E4-A95F-B8331BD44660}"/>
    <cellStyle name="Comma 4 4 2 2 8 3" xfId="11234" xr:uid="{8CA9B326-40B3-41B3-9912-845B32A0FEF3}"/>
    <cellStyle name="Comma 4 4 2 2 9" xfId="4627" xr:uid="{00000000-0005-0000-0000-0000E5090000}"/>
    <cellStyle name="Comma 4 4 2 2 9 2" xfId="13069" xr:uid="{D7283C71-EA3D-4344-8D72-CE5CB9DAF775}"/>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DEE18C96-A563-4796-B044-273B272BBE65}"/>
    <cellStyle name="Comma 4 4 2 3 2 3" xfId="11409" xr:uid="{278BF9A5-FE1A-4756-B97B-BB53D5FA2134}"/>
    <cellStyle name="Comma 4 4 2 3 3" xfId="5040" xr:uid="{00000000-0005-0000-0000-0000E9090000}"/>
    <cellStyle name="Comma 4 4 2 3 3 2" xfId="13482" xr:uid="{DFF5C7AD-250F-4A62-A534-798E82F4C961}"/>
    <cellStyle name="Comma 4 4 2 3 4" xfId="9264" xr:uid="{0BE75D3A-6BFC-4F6D-AD05-FFCC48F50F5B}"/>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561D4969-19DC-4FE5-B657-5016A77FB735}"/>
    <cellStyle name="Comma 4 4 2 4 2 3" xfId="11822" xr:uid="{FD0AA116-BDCE-4CB8-A351-891B8C01FCDB}"/>
    <cellStyle name="Comma 4 4 2 4 3" xfId="5453" xr:uid="{00000000-0005-0000-0000-0000ED090000}"/>
    <cellStyle name="Comma 4 4 2 4 3 2" xfId="13895" xr:uid="{DA81B07B-A1A4-4830-B260-57B515CCFC17}"/>
    <cellStyle name="Comma 4 4 2 4 4" xfId="9677" xr:uid="{F2AF95CE-19B5-4DA6-9C92-2D6D0C81584B}"/>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4A835662-BDD5-4981-8160-A498F837B6A0}"/>
    <cellStyle name="Comma 4 4 2 5 2 3" xfId="12235" xr:uid="{23AEDE8D-C43C-4E6D-8080-709BDDED3986}"/>
    <cellStyle name="Comma 4 4 2 5 3" xfId="5866" xr:uid="{00000000-0005-0000-0000-0000F1090000}"/>
    <cellStyle name="Comma 4 4 2 5 3 2" xfId="14308" xr:uid="{C894CD28-A50E-40BD-A717-3219D1AAEA77}"/>
    <cellStyle name="Comma 4 4 2 5 4" xfId="10090" xr:uid="{04A24E89-7D54-4029-80BA-192782CC9291}"/>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CE7FB825-F161-47B2-A323-30DFBEE20E0F}"/>
    <cellStyle name="Comma 4 4 2 6 2 3" xfId="12648" xr:uid="{3F86EA0B-8D60-4F04-BA65-6937355C300C}"/>
    <cellStyle name="Comma 4 4 2 6 3" xfId="6279" xr:uid="{00000000-0005-0000-0000-0000F5090000}"/>
    <cellStyle name="Comma 4 4 2 6 3 2" xfId="14721" xr:uid="{CC7B71BB-671A-465A-A0E2-55F147F016F6}"/>
    <cellStyle name="Comma 4 4 2 6 4" xfId="10503" xr:uid="{C63F7C4E-3EF9-4E80-B919-447C1411E549}"/>
    <cellStyle name="Comma 4 4 2 7" xfId="2407" xr:uid="{00000000-0005-0000-0000-0000F6090000}"/>
    <cellStyle name="Comma 4 4 2 7 2" xfId="6692" xr:uid="{00000000-0005-0000-0000-0000F7090000}"/>
    <cellStyle name="Comma 4 4 2 7 2 2" xfId="15134" xr:uid="{1C007C22-BD12-4026-BA1E-37A7F976FFC5}"/>
    <cellStyle name="Comma 4 4 2 7 3" xfId="10916" xr:uid="{03A46346-F3F0-4406-B2BB-81A1C76E829E}"/>
    <cellStyle name="Comma 4 4 2 8" xfId="2703" xr:uid="{00000000-0005-0000-0000-0000F8090000}"/>
    <cellStyle name="Comma 4 4 2 9" xfId="2785" xr:uid="{00000000-0005-0000-0000-0000F9090000}"/>
    <cellStyle name="Comma 4 4 2 9 2" xfId="7009" xr:uid="{00000000-0005-0000-0000-0000FA090000}"/>
    <cellStyle name="Comma 4 4 2 9 2 2" xfId="15451" xr:uid="{4AA9E335-A6EC-48CF-B8E1-FFFA506BCD6E}"/>
    <cellStyle name="Comma 4 4 2 9 3" xfId="11233" xr:uid="{D87064B4-CEC8-42EF-A0B3-293302FB47E4}"/>
    <cellStyle name="Comma 4 4 3" xfId="156" xr:uid="{00000000-0005-0000-0000-0000FB090000}"/>
    <cellStyle name="Comma 4 4 3 10" xfId="8852" xr:uid="{A6052C7C-678C-4995-9A6D-D808698EC2F6}"/>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A86B082F-BABF-4BCC-BFED-CC114CED73CA}"/>
    <cellStyle name="Comma 4 4 3 2 2 3" xfId="11411" xr:uid="{08E9ADB8-166F-430B-9B1F-4B3B3AD3C687}"/>
    <cellStyle name="Comma 4 4 3 2 3" xfId="5042" xr:uid="{00000000-0005-0000-0000-0000FF090000}"/>
    <cellStyle name="Comma 4 4 3 2 3 2" xfId="13484" xr:uid="{B8F44E6C-E132-4C79-9FEB-E1DC59651EB5}"/>
    <cellStyle name="Comma 4 4 3 2 4" xfId="9266" xr:uid="{0C020E9E-8E5C-4222-8072-285FA9228E2F}"/>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274915C6-4B9C-4D83-AC29-590B301B3E26}"/>
    <cellStyle name="Comma 4 4 3 3 2 3" xfId="11824" xr:uid="{530F613C-7B95-4E8A-963C-4F6838785216}"/>
    <cellStyle name="Comma 4 4 3 3 3" xfId="5455" xr:uid="{00000000-0005-0000-0000-0000030A0000}"/>
    <cellStyle name="Comma 4 4 3 3 3 2" xfId="13897" xr:uid="{66FC7ED4-4AA0-49EB-B423-DEFFBE08B9F6}"/>
    <cellStyle name="Comma 4 4 3 3 4" xfId="9679" xr:uid="{177ECB01-1F56-468D-B5A6-8BD444328EB8}"/>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88CFBEF3-3985-4B5A-BDE1-AF8CEC612D6F}"/>
    <cellStyle name="Comma 4 4 3 4 2 3" xfId="12237" xr:uid="{148D7FE5-B960-4195-96D4-F0CD63E1860A}"/>
    <cellStyle name="Comma 4 4 3 4 3" xfId="5868" xr:uid="{00000000-0005-0000-0000-0000070A0000}"/>
    <cellStyle name="Comma 4 4 3 4 3 2" xfId="14310" xr:uid="{C62839F1-32CE-4CB1-B1BC-4AF2D409AA55}"/>
    <cellStyle name="Comma 4 4 3 4 4" xfId="10092" xr:uid="{4A59DB37-3FA2-4933-91DE-F9B340782357}"/>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1B7CFA60-62AB-48A2-9358-9BAB05650A92}"/>
    <cellStyle name="Comma 4 4 3 5 2 3" xfId="12650" xr:uid="{2A5C2B09-9387-49C0-A8F4-88A0E407F73E}"/>
    <cellStyle name="Comma 4 4 3 5 3" xfId="6281" xr:uid="{00000000-0005-0000-0000-00000B0A0000}"/>
    <cellStyle name="Comma 4 4 3 5 3 2" xfId="14723" xr:uid="{231FDE06-201C-4F9C-A242-E09ECD897C24}"/>
    <cellStyle name="Comma 4 4 3 5 4" xfId="10505" xr:uid="{16096BA4-AEC2-4416-A0AA-8E0652BB2AC4}"/>
    <cellStyle name="Comma 4 4 3 6" xfId="2409" xr:uid="{00000000-0005-0000-0000-00000C0A0000}"/>
    <cellStyle name="Comma 4 4 3 6 2" xfId="6694" xr:uid="{00000000-0005-0000-0000-00000D0A0000}"/>
    <cellStyle name="Comma 4 4 3 6 2 2" xfId="15136" xr:uid="{789E8407-8B1E-4B89-86B7-68A14646F349}"/>
    <cellStyle name="Comma 4 4 3 6 3" xfId="10918" xr:uid="{ADF91189-4776-4C96-9247-7EC329641175}"/>
    <cellStyle name="Comma 4 4 3 7" xfId="2705" xr:uid="{00000000-0005-0000-0000-00000E0A0000}"/>
    <cellStyle name="Comma 4 4 3 8" xfId="2787" xr:uid="{00000000-0005-0000-0000-00000F0A0000}"/>
    <cellStyle name="Comma 4 4 3 8 2" xfId="7011" xr:uid="{00000000-0005-0000-0000-0000100A0000}"/>
    <cellStyle name="Comma 4 4 3 8 2 2" xfId="15453" xr:uid="{308FF76C-E57D-4739-AB64-8B7C5ABDA580}"/>
    <cellStyle name="Comma 4 4 3 8 3" xfId="11235" xr:uid="{DD074CEE-1A0B-48D8-BF89-0292FEE133D3}"/>
    <cellStyle name="Comma 4 4 3 9" xfId="4628" xr:uid="{00000000-0005-0000-0000-0000110A0000}"/>
    <cellStyle name="Comma 4 4 3 9 2" xfId="13070" xr:uid="{AC55BD4C-FE74-4D58-997D-C8DF3193A5C7}"/>
    <cellStyle name="Comma 4 4 4" xfId="690" xr:uid="{00000000-0005-0000-0000-0000120A0000}"/>
    <cellStyle name="Comma 4 4 4 2" xfId="2961" xr:uid="{00000000-0005-0000-0000-0000130A0000}"/>
    <cellStyle name="Comma 4 4 4 2 2" xfId="7184" xr:uid="{00000000-0005-0000-0000-0000140A0000}"/>
    <cellStyle name="Comma 4 4 4 2 2 2" xfId="15626" xr:uid="{BADF1C03-AF7B-47A9-9FEC-38FC35012520}"/>
    <cellStyle name="Comma 4 4 4 2 3" xfId="11408" xr:uid="{1026F021-84F3-4EDE-ABF8-59CC893C0A39}"/>
    <cellStyle name="Comma 4 4 4 3" xfId="5039" xr:uid="{00000000-0005-0000-0000-0000150A0000}"/>
    <cellStyle name="Comma 4 4 4 3 2" xfId="13481" xr:uid="{96F311F0-C987-4412-85B1-F4492D127A70}"/>
    <cellStyle name="Comma 4 4 4 4" xfId="9263" xr:uid="{A1372EAA-82BC-4987-87C9-1635F4DE1B0C}"/>
    <cellStyle name="Comma 4 4 5" xfId="1143" xr:uid="{00000000-0005-0000-0000-0000160A0000}"/>
    <cellStyle name="Comma 4 4 5 2" xfId="3374" xr:uid="{00000000-0005-0000-0000-0000170A0000}"/>
    <cellStyle name="Comma 4 4 5 2 2" xfId="7597" xr:uid="{00000000-0005-0000-0000-0000180A0000}"/>
    <cellStyle name="Comma 4 4 5 2 2 2" xfId="16039" xr:uid="{39CBFCB3-4BAB-462A-8B2C-8E60603E853B}"/>
    <cellStyle name="Comma 4 4 5 2 3" xfId="11821" xr:uid="{770EB71F-98D6-49B4-A17B-13DF0EB2B954}"/>
    <cellStyle name="Comma 4 4 5 3" xfId="5452" xr:uid="{00000000-0005-0000-0000-0000190A0000}"/>
    <cellStyle name="Comma 4 4 5 3 2" xfId="13894" xr:uid="{860C70BD-0770-431B-AE96-AAE2626A1FF0}"/>
    <cellStyle name="Comma 4 4 5 4" xfId="9676" xr:uid="{655D7CFF-E2E7-4141-A9AA-5E82342ADF7E}"/>
    <cellStyle name="Comma 4 4 6" xfId="1557" xr:uid="{00000000-0005-0000-0000-00001A0A0000}"/>
    <cellStyle name="Comma 4 4 6 2" xfId="3787" xr:uid="{00000000-0005-0000-0000-00001B0A0000}"/>
    <cellStyle name="Comma 4 4 6 2 2" xfId="8010" xr:uid="{00000000-0005-0000-0000-00001C0A0000}"/>
    <cellStyle name="Comma 4 4 6 2 2 2" xfId="16452" xr:uid="{BA8D7DD3-D7BB-4C6A-88C2-25241B9F0BBC}"/>
    <cellStyle name="Comma 4 4 6 2 3" xfId="12234" xr:uid="{31BD134E-40EE-4DF3-9E5A-9ADFBC77B2AD}"/>
    <cellStyle name="Comma 4 4 6 3" xfId="5865" xr:uid="{00000000-0005-0000-0000-00001D0A0000}"/>
    <cellStyle name="Comma 4 4 6 3 2" xfId="14307" xr:uid="{5CB86E73-69B7-469B-99F9-E74DCE8B15CB}"/>
    <cellStyle name="Comma 4 4 6 4" xfId="10089" xr:uid="{B7CE54A6-E2F2-4AAB-BFBD-0EEB1D9122D5}"/>
    <cellStyle name="Comma 4 4 7" xfId="1971" xr:uid="{00000000-0005-0000-0000-00001E0A0000}"/>
    <cellStyle name="Comma 4 4 7 2" xfId="4200" xr:uid="{00000000-0005-0000-0000-00001F0A0000}"/>
    <cellStyle name="Comma 4 4 7 2 2" xfId="8423" xr:uid="{00000000-0005-0000-0000-0000200A0000}"/>
    <cellStyle name="Comma 4 4 7 2 2 2" xfId="16865" xr:uid="{73AD007C-F2FE-4CA1-92C3-23733ECD21C6}"/>
    <cellStyle name="Comma 4 4 7 2 3" xfId="12647" xr:uid="{7C2BA53F-5EC5-461A-BD24-64D460698D27}"/>
    <cellStyle name="Comma 4 4 7 3" xfId="6278" xr:uid="{00000000-0005-0000-0000-0000210A0000}"/>
    <cellStyle name="Comma 4 4 7 3 2" xfId="14720" xr:uid="{0D79F1DC-5FA5-493A-B7BD-0A2BC2504A43}"/>
    <cellStyle name="Comma 4 4 7 4" xfId="10502" xr:uid="{1C2D4862-6545-44BE-A966-5E3C98C1AA3E}"/>
    <cellStyle name="Comma 4 4 8" xfId="2406" xr:uid="{00000000-0005-0000-0000-0000220A0000}"/>
    <cellStyle name="Comma 4 4 8 2" xfId="6691" xr:uid="{00000000-0005-0000-0000-0000230A0000}"/>
    <cellStyle name="Comma 4 4 8 2 2" xfId="15133" xr:uid="{BFF4F1B7-B4D3-4B27-8576-864BD9C27680}"/>
    <cellStyle name="Comma 4 4 8 3" xfId="10915" xr:uid="{2A487B41-F165-452A-A5AA-69919763E47F}"/>
    <cellStyle name="Comma 4 4 9" xfId="2702" xr:uid="{00000000-0005-0000-0000-0000240A0000}"/>
    <cellStyle name="Comma 4 5" xfId="157" xr:uid="{00000000-0005-0000-0000-0000250A0000}"/>
    <cellStyle name="Comma 4 5 10" xfId="4629" xr:uid="{00000000-0005-0000-0000-0000260A0000}"/>
    <cellStyle name="Comma 4 5 10 2" xfId="13071" xr:uid="{1B605F25-6A24-4D61-9442-777E8B966C4C}"/>
    <cellStyle name="Comma 4 5 11" xfId="8853" xr:uid="{9D3128F7-E5F3-4AFC-A88A-31795922D81B}"/>
    <cellStyle name="Comma 4 5 2" xfId="158" xr:uid="{00000000-0005-0000-0000-0000270A0000}"/>
    <cellStyle name="Comma 4 5 2 10" xfId="8854" xr:uid="{080CEDC2-96C7-493B-9DEF-E5D345FE7151}"/>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5EDD54D-9416-42AE-9448-A8D792C7296F}"/>
    <cellStyle name="Comma 4 5 2 2 2 3" xfId="11413" xr:uid="{342E637B-F341-4200-BF45-61FBF882806D}"/>
    <cellStyle name="Comma 4 5 2 2 3" xfId="5044" xr:uid="{00000000-0005-0000-0000-00002B0A0000}"/>
    <cellStyle name="Comma 4 5 2 2 3 2" xfId="13486" xr:uid="{40C91E0E-2BFB-4A82-B4FE-C74B4016E386}"/>
    <cellStyle name="Comma 4 5 2 2 4" xfId="9268" xr:uid="{6C813459-B537-4E9B-B05E-B8255E361C92}"/>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068B0877-61B6-4528-BA02-A08F36145B71}"/>
    <cellStyle name="Comma 4 5 2 3 2 3" xfId="11826" xr:uid="{E5A23A94-90D1-4393-B32A-5CFFC1E07831}"/>
    <cellStyle name="Comma 4 5 2 3 3" xfId="5457" xr:uid="{00000000-0005-0000-0000-00002F0A0000}"/>
    <cellStyle name="Comma 4 5 2 3 3 2" xfId="13899" xr:uid="{84C5E2EC-3DF5-4A05-ADF1-0A3DE9E281D3}"/>
    <cellStyle name="Comma 4 5 2 3 4" xfId="9681" xr:uid="{0ED61015-0141-4100-BE4B-9A2C74015B50}"/>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2C26483E-922D-4343-9890-D088B9B4DDCD}"/>
    <cellStyle name="Comma 4 5 2 4 2 3" xfId="12239" xr:uid="{611F44C1-9255-4EF0-BC7C-A49A7307184B}"/>
    <cellStyle name="Comma 4 5 2 4 3" xfId="5870" xr:uid="{00000000-0005-0000-0000-0000330A0000}"/>
    <cellStyle name="Comma 4 5 2 4 3 2" xfId="14312" xr:uid="{F53E8B00-0A22-4624-BF21-1734E2BF882B}"/>
    <cellStyle name="Comma 4 5 2 4 4" xfId="10094" xr:uid="{519EE895-2677-4410-896B-EE53E9EEEAE2}"/>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B82765B6-2223-41BD-9423-4B5D65D954CE}"/>
    <cellStyle name="Comma 4 5 2 5 2 3" xfId="12652" xr:uid="{64AD8078-BB50-4C46-9976-9CD70A412BD6}"/>
    <cellStyle name="Comma 4 5 2 5 3" xfId="6283" xr:uid="{00000000-0005-0000-0000-0000370A0000}"/>
    <cellStyle name="Comma 4 5 2 5 3 2" xfId="14725" xr:uid="{039B7B2F-A59A-490C-8590-7867D51BCCD1}"/>
    <cellStyle name="Comma 4 5 2 5 4" xfId="10507" xr:uid="{982657F9-DE8D-41AF-8E6C-34D73444601C}"/>
    <cellStyle name="Comma 4 5 2 6" xfId="2411" xr:uid="{00000000-0005-0000-0000-0000380A0000}"/>
    <cellStyle name="Comma 4 5 2 6 2" xfId="6696" xr:uid="{00000000-0005-0000-0000-0000390A0000}"/>
    <cellStyle name="Comma 4 5 2 6 2 2" xfId="15138" xr:uid="{C1F446FA-DA41-43D9-9442-CF6DE54D1B24}"/>
    <cellStyle name="Comma 4 5 2 6 3" xfId="10920" xr:uid="{A19EA378-9045-4992-A6DF-5E2FC0A51ABE}"/>
    <cellStyle name="Comma 4 5 2 7" xfId="2707" xr:uid="{00000000-0005-0000-0000-00003A0A0000}"/>
    <cellStyle name="Comma 4 5 2 8" xfId="2789" xr:uid="{00000000-0005-0000-0000-00003B0A0000}"/>
    <cellStyle name="Comma 4 5 2 8 2" xfId="7013" xr:uid="{00000000-0005-0000-0000-00003C0A0000}"/>
    <cellStyle name="Comma 4 5 2 8 2 2" xfId="15455" xr:uid="{3867AB82-0540-420C-AF64-84DAF5669270}"/>
    <cellStyle name="Comma 4 5 2 8 3" xfId="11237" xr:uid="{67014F08-85C5-4CCE-B44D-CB3385DEC01C}"/>
    <cellStyle name="Comma 4 5 2 9" xfId="4630" xr:uid="{00000000-0005-0000-0000-00003D0A0000}"/>
    <cellStyle name="Comma 4 5 2 9 2" xfId="13072" xr:uid="{228B09C1-8781-488A-87D4-D854A37FDC8A}"/>
    <cellStyle name="Comma 4 5 3" xfId="694" xr:uid="{00000000-0005-0000-0000-00003E0A0000}"/>
    <cellStyle name="Comma 4 5 3 2" xfId="2965" xr:uid="{00000000-0005-0000-0000-00003F0A0000}"/>
    <cellStyle name="Comma 4 5 3 2 2" xfId="7188" xr:uid="{00000000-0005-0000-0000-0000400A0000}"/>
    <cellStyle name="Comma 4 5 3 2 2 2" xfId="15630" xr:uid="{318C6001-1753-4596-A8E1-6C518ED01A02}"/>
    <cellStyle name="Comma 4 5 3 2 3" xfId="11412" xr:uid="{EC1390CD-B9FC-4CD2-856B-21F409F19E5D}"/>
    <cellStyle name="Comma 4 5 3 3" xfId="5043" xr:uid="{00000000-0005-0000-0000-0000410A0000}"/>
    <cellStyle name="Comma 4 5 3 3 2" xfId="13485" xr:uid="{EDA3EA2B-9DA8-4CEE-8E39-8855119B3AE6}"/>
    <cellStyle name="Comma 4 5 3 4" xfId="9267" xr:uid="{7013C245-3EDA-46F6-B848-B1AB0516D6F0}"/>
    <cellStyle name="Comma 4 5 4" xfId="1147" xr:uid="{00000000-0005-0000-0000-0000420A0000}"/>
    <cellStyle name="Comma 4 5 4 2" xfId="3378" xr:uid="{00000000-0005-0000-0000-0000430A0000}"/>
    <cellStyle name="Comma 4 5 4 2 2" xfId="7601" xr:uid="{00000000-0005-0000-0000-0000440A0000}"/>
    <cellStyle name="Comma 4 5 4 2 2 2" xfId="16043" xr:uid="{DC5F2937-E84E-4ECA-AB3C-536BA5CFADD8}"/>
    <cellStyle name="Comma 4 5 4 2 3" xfId="11825" xr:uid="{40DDF0FE-73DA-48C0-851A-4B3E0C9A0E5B}"/>
    <cellStyle name="Comma 4 5 4 3" xfId="5456" xr:uid="{00000000-0005-0000-0000-0000450A0000}"/>
    <cellStyle name="Comma 4 5 4 3 2" xfId="13898" xr:uid="{43D470E4-4D3C-4796-A2C0-CD9BD1865CF2}"/>
    <cellStyle name="Comma 4 5 4 4" xfId="9680" xr:uid="{ED613C72-DA43-479A-BF33-7A0B70FB2D89}"/>
    <cellStyle name="Comma 4 5 5" xfId="1561" xr:uid="{00000000-0005-0000-0000-0000460A0000}"/>
    <cellStyle name="Comma 4 5 5 2" xfId="3791" xr:uid="{00000000-0005-0000-0000-0000470A0000}"/>
    <cellStyle name="Comma 4 5 5 2 2" xfId="8014" xr:uid="{00000000-0005-0000-0000-0000480A0000}"/>
    <cellStyle name="Comma 4 5 5 2 2 2" xfId="16456" xr:uid="{BF05248A-1BF9-4CE7-93DB-CA7764838917}"/>
    <cellStyle name="Comma 4 5 5 2 3" xfId="12238" xr:uid="{BEBFC913-6AA3-4CA3-97D2-D0E40CA23981}"/>
    <cellStyle name="Comma 4 5 5 3" xfId="5869" xr:uid="{00000000-0005-0000-0000-0000490A0000}"/>
    <cellStyle name="Comma 4 5 5 3 2" xfId="14311" xr:uid="{5F5439BC-4691-43E3-8D94-F79E64910182}"/>
    <cellStyle name="Comma 4 5 5 4" xfId="10093" xr:uid="{69F98BF4-1A04-4223-919F-38AA62D5DA5A}"/>
    <cellStyle name="Comma 4 5 6" xfId="1975" xr:uid="{00000000-0005-0000-0000-00004A0A0000}"/>
    <cellStyle name="Comma 4 5 6 2" xfId="4204" xr:uid="{00000000-0005-0000-0000-00004B0A0000}"/>
    <cellStyle name="Comma 4 5 6 2 2" xfId="8427" xr:uid="{00000000-0005-0000-0000-00004C0A0000}"/>
    <cellStyle name="Comma 4 5 6 2 2 2" xfId="16869" xr:uid="{8AAFE618-B3B0-4973-A845-9718BDAFDC95}"/>
    <cellStyle name="Comma 4 5 6 2 3" xfId="12651" xr:uid="{68619FAF-F47B-46A2-95B6-0BFEFD1D06B6}"/>
    <cellStyle name="Comma 4 5 6 3" xfId="6282" xr:uid="{00000000-0005-0000-0000-00004D0A0000}"/>
    <cellStyle name="Comma 4 5 6 3 2" xfId="14724" xr:uid="{C0C0200C-04AD-451A-90A3-96B93B293039}"/>
    <cellStyle name="Comma 4 5 6 4" xfId="10506" xr:uid="{B15EC280-9078-475A-87D6-FEAD0F83DDD9}"/>
    <cellStyle name="Comma 4 5 7" xfId="2410" xr:uid="{00000000-0005-0000-0000-00004E0A0000}"/>
    <cellStyle name="Comma 4 5 7 2" xfId="6695" xr:uid="{00000000-0005-0000-0000-00004F0A0000}"/>
    <cellStyle name="Comma 4 5 7 2 2" xfId="15137" xr:uid="{1B864F60-9F14-416F-9F7E-82B7B93262C7}"/>
    <cellStyle name="Comma 4 5 7 3" xfId="10919" xr:uid="{939DFE0A-782F-4F7D-A8E1-92B3B7348B84}"/>
    <cellStyle name="Comma 4 5 8" xfId="2706" xr:uid="{00000000-0005-0000-0000-0000500A0000}"/>
    <cellStyle name="Comma 4 5 9" xfId="2788" xr:uid="{00000000-0005-0000-0000-0000510A0000}"/>
    <cellStyle name="Comma 4 5 9 2" xfId="7012" xr:uid="{00000000-0005-0000-0000-0000520A0000}"/>
    <cellStyle name="Comma 4 5 9 2 2" xfId="15454" xr:uid="{7D4659DB-9348-46BB-A7A9-CBCA35DEDC29}"/>
    <cellStyle name="Comma 4 5 9 3" xfId="11236" xr:uid="{616E9A9F-7029-4154-8152-DF992D7806F6}"/>
    <cellStyle name="Comma 4 6" xfId="159" xr:uid="{00000000-0005-0000-0000-0000530A0000}"/>
    <cellStyle name="Comma 4 6 10" xfId="8855" xr:uid="{556AA807-DCC0-4BD5-B25A-E4D126D1FFE6}"/>
    <cellStyle name="Comma 4 6 2" xfId="696" xr:uid="{00000000-0005-0000-0000-0000540A0000}"/>
    <cellStyle name="Comma 4 6 2 2" xfId="2967" xr:uid="{00000000-0005-0000-0000-0000550A0000}"/>
    <cellStyle name="Comma 4 6 2 2 2" xfId="7190" xr:uid="{00000000-0005-0000-0000-0000560A0000}"/>
    <cellStyle name="Comma 4 6 2 2 2 2" xfId="15632" xr:uid="{28E22B28-97C1-4CD4-A6CC-304A86471609}"/>
    <cellStyle name="Comma 4 6 2 2 3" xfId="11414" xr:uid="{891C3F41-F808-4CAF-92F3-A5D38943129A}"/>
    <cellStyle name="Comma 4 6 2 3" xfId="5045" xr:uid="{00000000-0005-0000-0000-0000570A0000}"/>
    <cellStyle name="Comma 4 6 2 3 2" xfId="13487" xr:uid="{783AEB2A-E4B0-4221-9F19-D8D665C70A78}"/>
    <cellStyle name="Comma 4 6 2 4" xfId="9269" xr:uid="{16F52831-34EB-4889-BF1E-325940B7E60F}"/>
    <cellStyle name="Comma 4 6 3" xfId="1149" xr:uid="{00000000-0005-0000-0000-0000580A0000}"/>
    <cellStyle name="Comma 4 6 3 2" xfId="3380" xr:uid="{00000000-0005-0000-0000-0000590A0000}"/>
    <cellStyle name="Comma 4 6 3 2 2" xfId="7603" xr:uid="{00000000-0005-0000-0000-00005A0A0000}"/>
    <cellStyle name="Comma 4 6 3 2 2 2" xfId="16045" xr:uid="{7E1DB266-8B67-4657-8846-AAA145D64D3B}"/>
    <cellStyle name="Comma 4 6 3 2 3" xfId="11827" xr:uid="{3A3154B2-A89F-4D9B-B3E5-495DBE4D9388}"/>
    <cellStyle name="Comma 4 6 3 3" xfId="5458" xr:uid="{00000000-0005-0000-0000-00005B0A0000}"/>
    <cellStyle name="Comma 4 6 3 3 2" xfId="13900" xr:uid="{C12EE326-FA87-4BEC-80AD-CDDA63F2E7F0}"/>
    <cellStyle name="Comma 4 6 3 4" xfId="9682" xr:uid="{CEE26C72-F796-4BEE-A517-2187A83932DD}"/>
    <cellStyle name="Comma 4 6 4" xfId="1563" xr:uid="{00000000-0005-0000-0000-00005C0A0000}"/>
    <cellStyle name="Comma 4 6 4 2" xfId="3793" xr:uid="{00000000-0005-0000-0000-00005D0A0000}"/>
    <cellStyle name="Comma 4 6 4 2 2" xfId="8016" xr:uid="{00000000-0005-0000-0000-00005E0A0000}"/>
    <cellStyle name="Comma 4 6 4 2 2 2" xfId="16458" xr:uid="{09C57125-4485-4B59-96FE-E4C51C74D456}"/>
    <cellStyle name="Comma 4 6 4 2 3" xfId="12240" xr:uid="{0289733A-F31F-4E6D-A035-0CE3F1D41657}"/>
    <cellStyle name="Comma 4 6 4 3" xfId="5871" xr:uid="{00000000-0005-0000-0000-00005F0A0000}"/>
    <cellStyle name="Comma 4 6 4 3 2" xfId="14313" xr:uid="{6A0F29F8-AD0C-43D2-8A7C-6C26509F0339}"/>
    <cellStyle name="Comma 4 6 4 4" xfId="10095" xr:uid="{857CCB67-70DA-4545-8392-98996F6A9BCF}"/>
    <cellStyle name="Comma 4 6 5" xfId="1977" xr:uid="{00000000-0005-0000-0000-0000600A0000}"/>
    <cellStyle name="Comma 4 6 5 2" xfId="4206" xr:uid="{00000000-0005-0000-0000-0000610A0000}"/>
    <cellStyle name="Comma 4 6 5 2 2" xfId="8429" xr:uid="{00000000-0005-0000-0000-0000620A0000}"/>
    <cellStyle name="Comma 4 6 5 2 2 2" xfId="16871" xr:uid="{5E4BE307-0C43-4B04-A03D-4388F584AD97}"/>
    <cellStyle name="Comma 4 6 5 2 3" xfId="12653" xr:uid="{38100433-B4EA-4747-BE3E-73A7EE854A1F}"/>
    <cellStyle name="Comma 4 6 5 3" xfId="6284" xr:uid="{00000000-0005-0000-0000-0000630A0000}"/>
    <cellStyle name="Comma 4 6 5 3 2" xfId="14726" xr:uid="{AB07F4D9-9E18-4F50-8A08-A1ECAF184D73}"/>
    <cellStyle name="Comma 4 6 5 4" xfId="10508" xr:uid="{6937429B-F0E7-4609-9E29-7482506CC3C7}"/>
    <cellStyle name="Comma 4 6 6" xfId="2412" xr:uid="{00000000-0005-0000-0000-0000640A0000}"/>
    <cellStyle name="Comma 4 6 6 2" xfId="6697" xr:uid="{00000000-0005-0000-0000-0000650A0000}"/>
    <cellStyle name="Comma 4 6 6 2 2" xfId="15139" xr:uid="{A18317B6-D200-454B-94B9-2D20FAF98604}"/>
    <cellStyle name="Comma 4 6 6 3" xfId="10921" xr:uid="{81B10DFB-3221-4F97-868C-D061D2C04C84}"/>
    <cellStyle name="Comma 4 6 7" xfId="2708" xr:uid="{00000000-0005-0000-0000-0000660A0000}"/>
    <cellStyle name="Comma 4 6 8" xfId="2790" xr:uid="{00000000-0005-0000-0000-0000670A0000}"/>
    <cellStyle name="Comma 4 6 8 2" xfId="7014" xr:uid="{00000000-0005-0000-0000-0000680A0000}"/>
    <cellStyle name="Comma 4 6 8 2 2" xfId="15456" xr:uid="{67AC5E6E-559C-46F1-909F-B53F614F1935}"/>
    <cellStyle name="Comma 4 6 8 3" xfId="11238" xr:uid="{03FB059A-6B70-42BA-B241-326E1D71FC5D}"/>
    <cellStyle name="Comma 4 6 9" xfId="4631" xr:uid="{00000000-0005-0000-0000-0000690A0000}"/>
    <cellStyle name="Comma 4 6 9 2" xfId="13073" xr:uid="{3578ECD0-E37E-4914-B84A-FD3D0A2FC561}"/>
    <cellStyle name="Comma 4 7" xfId="160" xr:uid="{00000000-0005-0000-0000-00006A0A0000}"/>
    <cellStyle name="Comma 4 7 10" xfId="8856" xr:uid="{B2EF7C43-D9C0-4EF2-85AD-572A36A00C78}"/>
    <cellStyle name="Comma 4 7 2" xfId="697" xr:uid="{00000000-0005-0000-0000-00006B0A0000}"/>
    <cellStyle name="Comma 4 7 2 2" xfId="2968" xr:uid="{00000000-0005-0000-0000-00006C0A0000}"/>
    <cellStyle name="Comma 4 7 2 2 2" xfId="7191" xr:uid="{00000000-0005-0000-0000-00006D0A0000}"/>
    <cellStyle name="Comma 4 7 2 2 2 2" xfId="15633" xr:uid="{E9107D90-8864-4759-BC39-2425E3744919}"/>
    <cellStyle name="Comma 4 7 2 2 3" xfId="11415" xr:uid="{54389C0F-0644-4F4C-8462-0EE807AE0C58}"/>
    <cellStyle name="Comma 4 7 2 3" xfId="5046" xr:uid="{00000000-0005-0000-0000-00006E0A0000}"/>
    <cellStyle name="Comma 4 7 2 3 2" xfId="13488" xr:uid="{48F3196A-758D-493A-AE5D-8E86999E2BDC}"/>
    <cellStyle name="Comma 4 7 2 4" xfId="9270" xr:uid="{A0D42A8F-B18D-4793-9ED5-56923605419A}"/>
    <cellStyle name="Comma 4 7 3" xfId="1150" xr:uid="{00000000-0005-0000-0000-00006F0A0000}"/>
    <cellStyle name="Comma 4 7 3 2" xfId="3381" xr:uid="{00000000-0005-0000-0000-0000700A0000}"/>
    <cellStyle name="Comma 4 7 3 2 2" xfId="7604" xr:uid="{00000000-0005-0000-0000-0000710A0000}"/>
    <cellStyle name="Comma 4 7 3 2 2 2" xfId="16046" xr:uid="{5C8D9E01-0E4C-4F79-B5A8-EF67829FE5A9}"/>
    <cellStyle name="Comma 4 7 3 2 3" xfId="11828" xr:uid="{C1818753-C406-443D-A4FC-AAB8DCBD3165}"/>
    <cellStyle name="Comma 4 7 3 3" xfId="5459" xr:uid="{00000000-0005-0000-0000-0000720A0000}"/>
    <cellStyle name="Comma 4 7 3 3 2" xfId="13901" xr:uid="{E5676249-F538-4403-A390-8D29EA6A8CA7}"/>
    <cellStyle name="Comma 4 7 3 4" xfId="9683" xr:uid="{DF2AEB76-F3C5-4E77-9938-5EE83B47FAA5}"/>
    <cellStyle name="Comma 4 7 4" xfId="1564" xr:uid="{00000000-0005-0000-0000-0000730A0000}"/>
    <cellStyle name="Comma 4 7 4 2" xfId="3794" xr:uid="{00000000-0005-0000-0000-0000740A0000}"/>
    <cellStyle name="Comma 4 7 4 2 2" xfId="8017" xr:uid="{00000000-0005-0000-0000-0000750A0000}"/>
    <cellStyle name="Comma 4 7 4 2 2 2" xfId="16459" xr:uid="{0DF070F5-A7A0-4769-9673-DA75441279FC}"/>
    <cellStyle name="Comma 4 7 4 2 3" xfId="12241" xr:uid="{5C1D35E2-F590-422C-AD92-42F45B5386DF}"/>
    <cellStyle name="Comma 4 7 4 3" xfId="5872" xr:uid="{00000000-0005-0000-0000-0000760A0000}"/>
    <cellStyle name="Comma 4 7 4 3 2" xfId="14314" xr:uid="{EC397F6D-32F4-44E7-8CD3-17C746F2B2D9}"/>
    <cellStyle name="Comma 4 7 4 4" xfId="10096" xr:uid="{3149F5F6-60EB-4693-977D-103B0BC0AA11}"/>
    <cellStyle name="Comma 4 7 5" xfId="1978" xr:uid="{00000000-0005-0000-0000-0000770A0000}"/>
    <cellStyle name="Comma 4 7 5 2" xfId="4207" xr:uid="{00000000-0005-0000-0000-0000780A0000}"/>
    <cellStyle name="Comma 4 7 5 2 2" xfId="8430" xr:uid="{00000000-0005-0000-0000-0000790A0000}"/>
    <cellStyle name="Comma 4 7 5 2 2 2" xfId="16872" xr:uid="{37B71182-695A-4ED2-8D22-7EE504430B7D}"/>
    <cellStyle name="Comma 4 7 5 2 3" xfId="12654" xr:uid="{DEFB7464-E501-4D11-A2CA-480815C88558}"/>
    <cellStyle name="Comma 4 7 5 3" xfId="6285" xr:uid="{00000000-0005-0000-0000-00007A0A0000}"/>
    <cellStyle name="Comma 4 7 5 3 2" xfId="14727" xr:uid="{4D6FF3C8-2F41-4537-9275-0776DA2590E3}"/>
    <cellStyle name="Comma 4 7 5 4" xfId="10509" xr:uid="{281DD342-682A-4C3D-8954-39721B0AC80D}"/>
    <cellStyle name="Comma 4 7 6" xfId="2413" xr:uid="{00000000-0005-0000-0000-00007B0A0000}"/>
    <cellStyle name="Comma 4 7 6 2" xfId="6698" xr:uid="{00000000-0005-0000-0000-00007C0A0000}"/>
    <cellStyle name="Comma 4 7 6 2 2" xfId="15140" xr:uid="{ABC7E3FD-1C04-48A0-8665-13E6B06F7514}"/>
    <cellStyle name="Comma 4 7 6 3" xfId="10922" xr:uid="{9D1949E0-30F1-4B9A-B54A-FDC684C1C4BD}"/>
    <cellStyle name="Comma 4 7 7" xfId="2709" xr:uid="{00000000-0005-0000-0000-00007D0A0000}"/>
    <cellStyle name="Comma 4 7 8" xfId="2791" xr:uid="{00000000-0005-0000-0000-00007E0A0000}"/>
    <cellStyle name="Comma 4 7 8 2" xfId="7015" xr:uid="{00000000-0005-0000-0000-00007F0A0000}"/>
    <cellStyle name="Comma 4 7 8 2 2" xfId="15457" xr:uid="{F5772A67-0137-4698-96CC-27650019B05D}"/>
    <cellStyle name="Comma 4 7 8 3" xfId="11239" xr:uid="{847BD0A3-7CEC-4EEE-9316-4AAA39831420}"/>
    <cellStyle name="Comma 4 7 9" xfId="4632" xr:uid="{00000000-0005-0000-0000-0000800A0000}"/>
    <cellStyle name="Comma 4 7 9 2" xfId="13074" xr:uid="{13595A18-B05A-49C5-A8DF-4399EDEDE8C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0D4CADE3-9F94-4FDF-AD60-676F424C9F3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CE35E7C5-DD5C-46CB-AD6B-4E969EC7932D}"/>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7D12B8F6-C5C9-46C4-AA7F-5ED2F8628D9A}"/>
    <cellStyle name="Currency 14 3 2 3" xfId="17165" xr:uid="{5C0A3085-A4AF-43C9-8F6C-99BD907F40A7}"/>
    <cellStyle name="Currency 14 3 3" xfId="17162" xr:uid="{84485AF7-CD66-47C1-A788-17B8B3457230}"/>
    <cellStyle name="Currency 14 4" xfId="12945" xr:uid="{B428E532-7D75-4820-8F5D-483EBA2A357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67445051-4611-4428-8526-6AE13DD69D6B}"/>
    <cellStyle name="Currency 3 2 2 10 3" xfId="11240" xr:uid="{7E04968D-90AB-45D3-850F-F87481318BEB}"/>
    <cellStyle name="Currency 3 2 2 11" xfId="4633" xr:uid="{00000000-0005-0000-0000-0000A50A0000}"/>
    <cellStyle name="Currency 3 2 2 11 2" xfId="13075" xr:uid="{285FBE63-F9E2-4B64-BA03-06A57528C241}"/>
    <cellStyle name="Currency 3 2 2 12" xfId="8857" xr:uid="{AF8C1D04-E996-47DA-9647-F9D3895BAE0E}"/>
    <cellStyle name="Currency 3 2 2 2" xfId="179" xr:uid="{00000000-0005-0000-0000-0000A60A0000}"/>
    <cellStyle name="Currency 3 2 2 2 10" xfId="4634" xr:uid="{00000000-0005-0000-0000-0000A70A0000}"/>
    <cellStyle name="Currency 3 2 2 2 10 2" xfId="13076" xr:uid="{C8F625C9-50B4-49A3-9AF1-BA811D4388DE}"/>
    <cellStyle name="Currency 3 2 2 2 11" xfId="8858" xr:uid="{2A4477FE-D6EC-4F26-8751-4D0D2B497C4A}"/>
    <cellStyle name="Currency 3 2 2 2 2" xfId="180" xr:uid="{00000000-0005-0000-0000-0000A80A0000}"/>
    <cellStyle name="Currency 3 2 2 2 2 10" xfId="8859" xr:uid="{96087BD0-1D82-44A9-AD5B-1F2C325DAFC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33376EA1-6BBE-4966-B10F-619249504790}"/>
    <cellStyle name="Currency 3 2 2 2 2 2 2 3" xfId="11418" xr:uid="{3AFC476C-9621-42CD-8B54-CB78798B54AF}"/>
    <cellStyle name="Currency 3 2 2 2 2 2 3" xfId="5049" xr:uid="{00000000-0005-0000-0000-0000AC0A0000}"/>
    <cellStyle name="Currency 3 2 2 2 2 2 3 2" xfId="13491" xr:uid="{A9DE2BAE-9F69-47E1-ADE6-FCDC77A0A1C1}"/>
    <cellStyle name="Currency 3 2 2 2 2 2 4" xfId="9273" xr:uid="{5B5B95BB-2F59-4DDD-B155-726637D5BC84}"/>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4F89B0D6-C5A8-496D-9E49-0719C562165E}"/>
    <cellStyle name="Currency 3 2 2 2 2 3 2 3" xfId="11831" xr:uid="{5E8521AE-A15F-4152-B41B-FE935222148F}"/>
    <cellStyle name="Currency 3 2 2 2 2 3 3" xfId="5462" xr:uid="{00000000-0005-0000-0000-0000B00A0000}"/>
    <cellStyle name="Currency 3 2 2 2 2 3 3 2" xfId="13904" xr:uid="{115764AF-7314-4CCA-B775-6585A1F47882}"/>
    <cellStyle name="Currency 3 2 2 2 2 3 4" xfId="9686" xr:uid="{2AC219FE-8FE1-4BA1-AE36-EFE7A952A79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BF1E1719-6840-4709-AF66-DB413F5F5154}"/>
    <cellStyle name="Currency 3 2 2 2 2 4 2 3" xfId="12244" xr:uid="{56FB70BF-B826-47F5-AF75-46C9A18D8B1D}"/>
    <cellStyle name="Currency 3 2 2 2 2 4 3" xfId="5875" xr:uid="{00000000-0005-0000-0000-0000B40A0000}"/>
    <cellStyle name="Currency 3 2 2 2 2 4 3 2" xfId="14317" xr:uid="{0A9985B3-1E48-44F1-A44C-B521681EF7F2}"/>
    <cellStyle name="Currency 3 2 2 2 2 4 4" xfId="10099" xr:uid="{40B628B0-1CA7-4E13-B1F8-8250CF914A4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5883CCC4-32AF-4810-A4BF-BB7CD6DBCBEF}"/>
    <cellStyle name="Currency 3 2 2 2 2 5 2 3" xfId="12657" xr:uid="{1883449B-B242-4FF7-8B4F-EF7542C6171E}"/>
    <cellStyle name="Currency 3 2 2 2 2 5 3" xfId="6288" xr:uid="{00000000-0005-0000-0000-0000B80A0000}"/>
    <cellStyle name="Currency 3 2 2 2 2 5 3 2" xfId="14730" xr:uid="{207981C7-E26F-4B92-8AFD-BBE581601321}"/>
    <cellStyle name="Currency 3 2 2 2 2 5 4" xfId="10512" xr:uid="{F241D400-975F-4977-82FA-3F087F01DC63}"/>
    <cellStyle name="Currency 3 2 2 2 2 6" xfId="2416" xr:uid="{00000000-0005-0000-0000-0000B90A0000}"/>
    <cellStyle name="Currency 3 2 2 2 2 6 2" xfId="6701" xr:uid="{00000000-0005-0000-0000-0000BA0A0000}"/>
    <cellStyle name="Currency 3 2 2 2 2 6 2 2" xfId="15143" xr:uid="{FB7CA52F-E67C-44CA-8DAD-FB751BF4E95F}"/>
    <cellStyle name="Currency 3 2 2 2 2 6 3" xfId="10925" xr:uid="{BC217730-AA75-4213-AD97-BD8162ADD7E2}"/>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51447796-BBC1-4D4B-9018-B03E697AD890}"/>
    <cellStyle name="Currency 3 2 2 2 2 8 3" xfId="11242" xr:uid="{FD5134BF-B966-4727-9E7D-7C8142C7C235}"/>
    <cellStyle name="Currency 3 2 2 2 2 9" xfId="4635" xr:uid="{00000000-0005-0000-0000-0000BE0A0000}"/>
    <cellStyle name="Currency 3 2 2 2 2 9 2" xfId="13077" xr:uid="{7330C6BD-FF43-42CE-8201-0CF185E5287C}"/>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13AF0942-86C7-409A-A563-1E97CB8FAFFF}"/>
    <cellStyle name="Currency 3 2 2 2 3 2 3" xfId="11417" xr:uid="{E90DA33F-E04B-4F9C-9635-7AAED6D3A8A4}"/>
    <cellStyle name="Currency 3 2 2 2 3 3" xfId="5048" xr:uid="{00000000-0005-0000-0000-0000C20A0000}"/>
    <cellStyle name="Currency 3 2 2 2 3 3 2" xfId="13490" xr:uid="{D8347E34-375B-4B86-AADA-4F3597FCD034}"/>
    <cellStyle name="Currency 3 2 2 2 3 4" xfId="9272" xr:uid="{DCA70C68-C98C-4BED-8E33-DA144D7A3047}"/>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919C56D6-2CB6-4282-B711-CD8F74BBB9F5}"/>
    <cellStyle name="Currency 3 2 2 2 4 2 3" xfId="11830" xr:uid="{277192BB-F30B-47CC-B2BE-C6CE54A10417}"/>
    <cellStyle name="Currency 3 2 2 2 4 3" xfId="5461" xr:uid="{00000000-0005-0000-0000-0000C60A0000}"/>
    <cellStyle name="Currency 3 2 2 2 4 3 2" xfId="13903" xr:uid="{1B0DCD29-BA83-4349-9EE3-90EFA7901D78}"/>
    <cellStyle name="Currency 3 2 2 2 4 4" xfId="9685" xr:uid="{0A1FF26F-FCA0-4655-87C7-7B8627767D5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24DBBC60-E9FB-4D5B-BF12-3A81B8D594BD}"/>
    <cellStyle name="Currency 3 2 2 2 5 2 3" xfId="12243" xr:uid="{2FF2C8DF-73A3-4211-855E-6816025E07BD}"/>
    <cellStyle name="Currency 3 2 2 2 5 3" xfId="5874" xr:uid="{00000000-0005-0000-0000-0000CA0A0000}"/>
    <cellStyle name="Currency 3 2 2 2 5 3 2" xfId="14316" xr:uid="{0C968881-07F8-4BDD-B89B-082F8312A006}"/>
    <cellStyle name="Currency 3 2 2 2 5 4" xfId="10098" xr:uid="{88A50793-2F02-4DD4-AFCC-85D601B13064}"/>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35A5EA2-F4F3-49BF-9F53-765C9A9EC090}"/>
    <cellStyle name="Currency 3 2 2 2 6 2 3" xfId="12656" xr:uid="{CD377FF1-97F5-4557-820E-8A116F568C37}"/>
    <cellStyle name="Currency 3 2 2 2 6 3" xfId="6287" xr:uid="{00000000-0005-0000-0000-0000CE0A0000}"/>
    <cellStyle name="Currency 3 2 2 2 6 3 2" xfId="14729" xr:uid="{9708774F-FAC5-4267-A8C2-5A328D5267DF}"/>
    <cellStyle name="Currency 3 2 2 2 6 4" xfId="10511" xr:uid="{E4FBA719-4F96-4488-A7DA-F8BAD52C7376}"/>
    <cellStyle name="Currency 3 2 2 2 7" xfId="2415" xr:uid="{00000000-0005-0000-0000-0000CF0A0000}"/>
    <cellStyle name="Currency 3 2 2 2 7 2" xfId="6700" xr:uid="{00000000-0005-0000-0000-0000D00A0000}"/>
    <cellStyle name="Currency 3 2 2 2 7 2 2" xfId="15142" xr:uid="{12CF7DC6-7A99-4192-9B26-82B440FE3639}"/>
    <cellStyle name="Currency 3 2 2 2 7 3" xfId="10924" xr:uid="{98287FB9-C6A1-4CFF-8A5F-01D4F2F4BA89}"/>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C32C5A56-0B01-47A4-82A8-CDD3B840D44A}"/>
    <cellStyle name="Currency 3 2 2 2 9 3" xfId="11241" xr:uid="{EDAA1B48-F7AB-4588-8339-82EF3FEF0A3C}"/>
    <cellStyle name="Currency 3 2 2 3" xfId="181" xr:uid="{00000000-0005-0000-0000-0000D40A0000}"/>
    <cellStyle name="Currency 3 2 2 3 10" xfId="8860" xr:uid="{DEB0062D-DBE8-449F-9381-257361B76DC1}"/>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474E0DCB-CBAC-4DAC-80C9-55F8191B7D39}"/>
    <cellStyle name="Currency 3 2 2 3 2 2 3" xfId="11419" xr:uid="{1CD80B9F-B61F-4455-A35C-5F70D2D2C13B}"/>
    <cellStyle name="Currency 3 2 2 3 2 3" xfId="5050" xr:uid="{00000000-0005-0000-0000-0000D80A0000}"/>
    <cellStyle name="Currency 3 2 2 3 2 3 2" xfId="13492" xr:uid="{44DC5365-8AA1-4CE6-A320-B5CB38F2D62C}"/>
    <cellStyle name="Currency 3 2 2 3 2 4" xfId="9274" xr:uid="{B618EF00-2327-44B8-B1C2-C7499B692238}"/>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F3DB100F-2C01-4E02-AC6E-CE71676738F7}"/>
    <cellStyle name="Currency 3 2 2 3 3 2 3" xfId="11832" xr:uid="{328944D3-2EC7-42F3-B53C-B7D95980924F}"/>
    <cellStyle name="Currency 3 2 2 3 3 3" xfId="5463" xr:uid="{00000000-0005-0000-0000-0000DC0A0000}"/>
    <cellStyle name="Currency 3 2 2 3 3 3 2" xfId="13905" xr:uid="{54B47C37-FED8-45A4-BB0B-E7C052D354C0}"/>
    <cellStyle name="Currency 3 2 2 3 3 4" xfId="9687" xr:uid="{3999A496-182A-4D51-B3A5-C14F677290C9}"/>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52DA4494-CA7A-4D05-B536-DD4552F439A1}"/>
    <cellStyle name="Currency 3 2 2 3 4 2 3" xfId="12245" xr:uid="{F73A6983-45AA-439B-B993-1A8A0BBB6A1A}"/>
    <cellStyle name="Currency 3 2 2 3 4 3" xfId="5876" xr:uid="{00000000-0005-0000-0000-0000E00A0000}"/>
    <cellStyle name="Currency 3 2 2 3 4 3 2" xfId="14318" xr:uid="{3BE582EC-915D-4499-BF78-3CBBFA0687D1}"/>
    <cellStyle name="Currency 3 2 2 3 4 4" xfId="10100" xr:uid="{73B32C3C-4CBE-4236-9C5A-0D7C4EE76759}"/>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7BAD00C0-6DB6-4136-9E62-FD70951AB0BC}"/>
    <cellStyle name="Currency 3 2 2 3 5 2 3" xfId="12658" xr:uid="{98395020-FE09-4770-9923-82A5450FACEA}"/>
    <cellStyle name="Currency 3 2 2 3 5 3" xfId="6289" xr:uid="{00000000-0005-0000-0000-0000E40A0000}"/>
    <cellStyle name="Currency 3 2 2 3 5 3 2" xfId="14731" xr:uid="{7B62E6CC-C4A9-4A16-ACE7-0E2862F5BA3B}"/>
    <cellStyle name="Currency 3 2 2 3 5 4" xfId="10513" xr:uid="{335D04BD-86B5-47DC-A333-3BA461DF0F2C}"/>
    <cellStyle name="Currency 3 2 2 3 6" xfId="2417" xr:uid="{00000000-0005-0000-0000-0000E50A0000}"/>
    <cellStyle name="Currency 3 2 2 3 6 2" xfId="6702" xr:uid="{00000000-0005-0000-0000-0000E60A0000}"/>
    <cellStyle name="Currency 3 2 2 3 6 2 2" xfId="15144" xr:uid="{C99B4652-68BB-4869-A8FF-ABCEF487F55E}"/>
    <cellStyle name="Currency 3 2 2 3 6 3" xfId="10926" xr:uid="{716FA948-008A-4152-8A3D-1608EF3BF728}"/>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4F4C7751-F6B8-499F-8D97-D96D0FEC5391}"/>
    <cellStyle name="Currency 3 2 2 3 8 3" xfId="11243" xr:uid="{2DC7BF00-8407-4420-9AFE-824F59596145}"/>
    <cellStyle name="Currency 3 2 2 3 9" xfId="4636" xr:uid="{00000000-0005-0000-0000-0000EA0A0000}"/>
    <cellStyle name="Currency 3 2 2 3 9 2" xfId="13078" xr:uid="{BD78D188-4B17-4F1D-B477-179C40360921}"/>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0F6EF7F4-3D49-4A70-AB2C-99FC998EA62E}"/>
    <cellStyle name="Currency 3 2 2 4 2 3" xfId="11416" xr:uid="{03E9456E-8E4D-4AE8-AF28-F76CFCA46A55}"/>
    <cellStyle name="Currency 3 2 2 4 3" xfId="5047" xr:uid="{00000000-0005-0000-0000-0000EE0A0000}"/>
    <cellStyle name="Currency 3 2 2 4 3 2" xfId="13489" xr:uid="{0ED380F6-0EF4-4FEA-BA4C-5BFB859E0B6F}"/>
    <cellStyle name="Currency 3 2 2 4 4" xfId="9271" xr:uid="{8D14454B-3812-43BA-ACAB-6F83C836FC31}"/>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64D105FD-B565-4907-9318-2471CA200B04}"/>
    <cellStyle name="Currency 3 2 2 5 2 3" xfId="11829" xr:uid="{24EA50DF-24BD-4F34-9D80-A4A8D0760AE4}"/>
    <cellStyle name="Currency 3 2 2 5 3" xfId="5460" xr:uid="{00000000-0005-0000-0000-0000F20A0000}"/>
    <cellStyle name="Currency 3 2 2 5 3 2" xfId="13902" xr:uid="{136AB9F5-B376-4090-89DF-3ACD31012067}"/>
    <cellStyle name="Currency 3 2 2 5 4" xfId="9684" xr:uid="{5F730E8B-B54E-4953-A680-28B2A84F432E}"/>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FCE2E2A7-8A82-4E96-BB72-F7BA5105CA8E}"/>
    <cellStyle name="Currency 3 2 2 6 2 3" xfId="12242" xr:uid="{BC3A697E-D559-498B-8D23-F30F8D26B4E8}"/>
    <cellStyle name="Currency 3 2 2 6 3" xfId="5873" xr:uid="{00000000-0005-0000-0000-0000F60A0000}"/>
    <cellStyle name="Currency 3 2 2 6 3 2" xfId="14315" xr:uid="{B8BB152F-EC1D-4661-ABE5-9EFFB3709B8A}"/>
    <cellStyle name="Currency 3 2 2 6 4" xfId="10097" xr:uid="{E2B3DA2C-51F3-4F1D-8F85-646D0DDD5C53}"/>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77516C3E-CD8C-49CB-8D6D-23A0FD41C4D1}"/>
    <cellStyle name="Currency 3 2 2 7 2 3" xfId="12655" xr:uid="{4367A4E1-DA6C-4FD7-927C-E1E4B92BFBD6}"/>
    <cellStyle name="Currency 3 2 2 7 3" xfId="6286" xr:uid="{00000000-0005-0000-0000-0000FA0A0000}"/>
    <cellStyle name="Currency 3 2 2 7 3 2" xfId="14728" xr:uid="{4C1ACA96-B814-46F8-932D-5FBF0648563B}"/>
    <cellStyle name="Currency 3 2 2 7 4" xfId="10510" xr:uid="{877CF5EB-977F-4700-958A-7AE44F9F3E7F}"/>
    <cellStyle name="Currency 3 2 2 8" xfId="2414" xr:uid="{00000000-0005-0000-0000-0000FB0A0000}"/>
    <cellStyle name="Currency 3 2 2 8 2" xfId="6699" xr:uid="{00000000-0005-0000-0000-0000FC0A0000}"/>
    <cellStyle name="Currency 3 2 2 8 2 2" xfId="15141" xr:uid="{E300A7A5-0867-4D1B-B14C-35E1E7AC47B6}"/>
    <cellStyle name="Currency 3 2 2 8 3" xfId="10923" xr:uid="{BE5F02D8-5ABE-4C1A-AFAE-CD3ABD935B9E}"/>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AF12FA53-64D6-4042-8910-5ED704219CD6}"/>
    <cellStyle name="Currency 3 2 3 11" xfId="8861" xr:uid="{52C04145-602D-40E1-90C4-D048761222E5}"/>
    <cellStyle name="Currency 3 2 3 2" xfId="183" xr:uid="{00000000-0005-0000-0000-0000000B0000}"/>
    <cellStyle name="Currency 3 2 3 2 10" xfId="8862" xr:uid="{50FAA2E2-B429-4C71-86C2-DD41ECDDC22D}"/>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5C731BAA-8A27-437F-9F59-BC19CE56FCC3}"/>
    <cellStyle name="Currency 3 2 3 2 2 2 3" xfId="11421" xr:uid="{7A80067D-670C-49BD-B5A0-6F9FFE297177}"/>
    <cellStyle name="Currency 3 2 3 2 2 3" xfId="5052" xr:uid="{00000000-0005-0000-0000-0000040B0000}"/>
    <cellStyle name="Currency 3 2 3 2 2 3 2" xfId="13494" xr:uid="{B73FE025-B2B1-493C-BCEE-2E3E2A494262}"/>
    <cellStyle name="Currency 3 2 3 2 2 4" xfId="9276" xr:uid="{54DFFD69-8663-4260-88FE-B58E3AB47C2F}"/>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D8FCF689-F88A-4024-82A5-EA944F78FCD3}"/>
    <cellStyle name="Currency 3 2 3 2 3 2 3" xfId="11834" xr:uid="{7B0218F3-BF67-40A5-80EA-B0B480E54D26}"/>
    <cellStyle name="Currency 3 2 3 2 3 3" xfId="5465" xr:uid="{00000000-0005-0000-0000-0000080B0000}"/>
    <cellStyle name="Currency 3 2 3 2 3 3 2" xfId="13907" xr:uid="{2D4A6866-90C1-49F9-9714-38A70B302E7E}"/>
    <cellStyle name="Currency 3 2 3 2 3 4" xfId="9689" xr:uid="{48990078-AD49-49DC-BF03-8B53A1A5F6F7}"/>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32774D79-9812-413D-92D8-0D71CBE15D78}"/>
    <cellStyle name="Currency 3 2 3 2 4 2 3" xfId="12247" xr:uid="{CFD1E61E-7F4A-490E-84E8-0B9D08319ECE}"/>
    <cellStyle name="Currency 3 2 3 2 4 3" xfId="5878" xr:uid="{00000000-0005-0000-0000-00000C0B0000}"/>
    <cellStyle name="Currency 3 2 3 2 4 3 2" xfId="14320" xr:uid="{206F4A1C-6E34-412F-98AB-8F9910E2E89E}"/>
    <cellStyle name="Currency 3 2 3 2 4 4" xfId="10102" xr:uid="{0C900A43-8366-4BCA-9888-B83490664744}"/>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837390C9-679B-499C-8CF6-625FFFA99DDA}"/>
    <cellStyle name="Currency 3 2 3 2 5 2 3" xfId="12660" xr:uid="{4E4EA0D6-F3FA-471A-83FE-7BB91A5E69A9}"/>
    <cellStyle name="Currency 3 2 3 2 5 3" xfId="6291" xr:uid="{00000000-0005-0000-0000-0000100B0000}"/>
    <cellStyle name="Currency 3 2 3 2 5 3 2" xfId="14733" xr:uid="{BCACFFE3-25A7-4B22-BF56-0C59BE1562FE}"/>
    <cellStyle name="Currency 3 2 3 2 5 4" xfId="10515" xr:uid="{836EF086-B45B-4AC3-9FE3-C8D8E9706C75}"/>
    <cellStyle name="Currency 3 2 3 2 6" xfId="2419" xr:uid="{00000000-0005-0000-0000-0000110B0000}"/>
    <cellStyle name="Currency 3 2 3 2 6 2" xfId="6704" xr:uid="{00000000-0005-0000-0000-0000120B0000}"/>
    <cellStyle name="Currency 3 2 3 2 6 2 2" xfId="15146" xr:uid="{51EC7782-C89D-44AB-B73B-E80B80A05B7B}"/>
    <cellStyle name="Currency 3 2 3 2 6 3" xfId="10928" xr:uid="{536A0920-E973-4D8E-8B4A-EFE8E6B6D17A}"/>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0AF5381E-79F8-4893-926A-C88B7BFDDC93}"/>
    <cellStyle name="Currency 3 2 3 2 8 3" xfId="11245" xr:uid="{B524889B-5BB8-4BB9-B2FE-2D903C89536F}"/>
    <cellStyle name="Currency 3 2 3 2 9" xfId="4638" xr:uid="{00000000-0005-0000-0000-0000160B0000}"/>
    <cellStyle name="Currency 3 2 3 2 9 2" xfId="13080" xr:uid="{BA8D8306-465C-4C0A-B62F-CE2F8E38CF19}"/>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2CA3712A-41BB-4380-82AB-9B3FC84E2040}"/>
    <cellStyle name="Currency 3 2 3 3 2 3" xfId="11420" xr:uid="{CA37399E-2D32-46AD-A274-D50FBF47B5D5}"/>
    <cellStyle name="Currency 3 2 3 3 3" xfId="5051" xr:uid="{00000000-0005-0000-0000-00001A0B0000}"/>
    <cellStyle name="Currency 3 2 3 3 3 2" xfId="13493" xr:uid="{CF0CDB90-9D15-4C65-B358-BED69074BB5D}"/>
    <cellStyle name="Currency 3 2 3 3 4" xfId="9275" xr:uid="{B3C0E16E-A3E5-4ED6-B07B-AFA32C4B4158}"/>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36269FEA-EBA2-47BA-8612-5449D205D9A0}"/>
    <cellStyle name="Currency 3 2 3 4 2 3" xfId="11833" xr:uid="{0311DADF-6E07-48D6-8153-4B3AB01BD9B4}"/>
    <cellStyle name="Currency 3 2 3 4 3" xfId="5464" xr:uid="{00000000-0005-0000-0000-00001E0B0000}"/>
    <cellStyle name="Currency 3 2 3 4 3 2" xfId="13906" xr:uid="{DCA213B9-E003-4BA0-A356-8AE0134039C8}"/>
    <cellStyle name="Currency 3 2 3 4 4" xfId="9688" xr:uid="{F5EF0AA2-EAED-4FFB-8DD7-34C6E034CD78}"/>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9E5ED091-FF0A-4F3E-9B6F-81B3EAEECC6E}"/>
    <cellStyle name="Currency 3 2 3 5 2 3" xfId="12246" xr:uid="{A01F686E-D17B-4708-A90B-1D2C99A30964}"/>
    <cellStyle name="Currency 3 2 3 5 3" xfId="5877" xr:uid="{00000000-0005-0000-0000-0000220B0000}"/>
    <cellStyle name="Currency 3 2 3 5 3 2" xfId="14319" xr:uid="{8F1D931C-656F-47FD-B018-017C2BDD7CB0}"/>
    <cellStyle name="Currency 3 2 3 5 4" xfId="10101" xr:uid="{DE385503-FA0C-4FBB-AE21-30EA6D0C227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23A4F320-7AE0-4937-BAFE-A93E2E2A5F00}"/>
    <cellStyle name="Currency 3 2 3 6 2 3" xfId="12659" xr:uid="{367A9B21-9F66-4FB6-93A8-2822D7CB35B1}"/>
    <cellStyle name="Currency 3 2 3 6 3" xfId="6290" xr:uid="{00000000-0005-0000-0000-0000260B0000}"/>
    <cellStyle name="Currency 3 2 3 6 3 2" xfId="14732" xr:uid="{67ADE38B-1997-4B8F-9A7E-F56BDFDCFA12}"/>
    <cellStyle name="Currency 3 2 3 6 4" xfId="10514" xr:uid="{9A0CF01B-1F2D-459D-BF4A-9B86AD1F988B}"/>
    <cellStyle name="Currency 3 2 3 7" xfId="2418" xr:uid="{00000000-0005-0000-0000-0000270B0000}"/>
    <cellStyle name="Currency 3 2 3 7 2" xfId="6703" xr:uid="{00000000-0005-0000-0000-0000280B0000}"/>
    <cellStyle name="Currency 3 2 3 7 2 2" xfId="15145" xr:uid="{5D688033-F29B-4160-BF18-DE9975E46178}"/>
    <cellStyle name="Currency 3 2 3 7 3" xfId="10927" xr:uid="{7B4FF453-7597-4E94-A4CE-CF61F2703F76}"/>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0F94C0D0-3227-444B-A86E-3EEDD99EBFD8}"/>
    <cellStyle name="Currency 3 2 3 9 3" xfId="11244" xr:uid="{4085393F-020C-4A06-8049-5A06485CFADE}"/>
    <cellStyle name="Currency 3 2 4" xfId="184" xr:uid="{00000000-0005-0000-0000-00002C0B0000}"/>
    <cellStyle name="Currency 3 2 4 10" xfId="8863" xr:uid="{D0D9A405-6372-4A8A-A25E-54900028EC7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3C247EF-5CF3-428E-8D7F-0050651B0378}"/>
    <cellStyle name="Currency 3 2 4 2 2 3" xfId="11422" xr:uid="{4A4EBAE4-BCCD-4467-B617-C06B6057663E}"/>
    <cellStyle name="Currency 3 2 4 2 3" xfId="5053" xr:uid="{00000000-0005-0000-0000-0000300B0000}"/>
    <cellStyle name="Currency 3 2 4 2 3 2" xfId="13495" xr:uid="{7FDAF70D-4269-4999-B21F-B1A0F1071800}"/>
    <cellStyle name="Currency 3 2 4 2 4" xfId="9277" xr:uid="{52C1A067-C41E-45DC-8F49-53243500D159}"/>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B1C5AC83-1510-4EEE-90FE-0B238F857E8E}"/>
    <cellStyle name="Currency 3 2 4 3 2 3" xfId="11835" xr:uid="{5D6F2146-242A-4061-BDED-87BA7F474FAF}"/>
    <cellStyle name="Currency 3 2 4 3 3" xfId="5466" xr:uid="{00000000-0005-0000-0000-0000340B0000}"/>
    <cellStyle name="Currency 3 2 4 3 3 2" xfId="13908" xr:uid="{89F9DE09-482D-4D5B-BDEE-6AF0F7428EC8}"/>
    <cellStyle name="Currency 3 2 4 3 4" xfId="9690" xr:uid="{82EB0DB0-8819-4873-B38C-A195996FB709}"/>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815809B6-6DD9-491B-A8F0-32EEC287BE0E}"/>
    <cellStyle name="Currency 3 2 4 4 2 3" xfId="12248" xr:uid="{57DF14D5-8CB8-4ABD-A063-AE4089116567}"/>
    <cellStyle name="Currency 3 2 4 4 3" xfId="5879" xr:uid="{00000000-0005-0000-0000-0000380B0000}"/>
    <cellStyle name="Currency 3 2 4 4 3 2" xfId="14321" xr:uid="{0C4B2625-CCEE-40DE-82AF-AA89933198A7}"/>
    <cellStyle name="Currency 3 2 4 4 4" xfId="10103" xr:uid="{24826748-D241-4DC1-BD6F-B21F2B6D14D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96994B72-F8CF-467F-98EB-B40068609DB2}"/>
    <cellStyle name="Currency 3 2 4 5 2 3" xfId="12661" xr:uid="{F383F1FB-06FC-45BB-B21C-5CDE020EA52E}"/>
    <cellStyle name="Currency 3 2 4 5 3" xfId="6292" xr:uid="{00000000-0005-0000-0000-00003C0B0000}"/>
    <cellStyle name="Currency 3 2 4 5 3 2" xfId="14734" xr:uid="{0053B31E-D1ED-49DA-AF93-81521B9A2147}"/>
    <cellStyle name="Currency 3 2 4 5 4" xfId="10516" xr:uid="{0602D780-6DE9-4522-99F0-6FB6A0FA94A0}"/>
    <cellStyle name="Currency 3 2 4 6" xfId="2420" xr:uid="{00000000-0005-0000-0000-00003D0B0000}"/>
    <cellStyle name="Currency 3 2 4 6 2" xfId="6705" xr:uid="{00000000-0005-0000-0000-00003E0B0000}"/>
    <cellStyle name="Currency 3 2 4 6 2 2" xfId="15147" xr:uid="{84B2F7FA-6C2C-4AC6-868E-D9A563DE4FD4}"/>
    <cellStyle name="Currency 3 2 4 6 3" xfId="10929" xr:uid="{6F0FEFEE-8712-4DAD-9E03-B8C7D609FE4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A8076CD4-49DE-43FD-A61D-78ABB0DB02BE}"/>
    <cellStyle name="Currency 3 2 4 8 3" xfId="11246" xr:uid="{4A4F0827-8CEE-48AB-86B8-A44879BEC1A5}"/>
    <cellStyle name="Currency 3 2 4 9" xfId="4639" xr:uid="{00000000-0005-0000-0000-0000420B0000}"/>
    <cellStyle name="Currency 3 2 4 9 2" xfId="13081" xr:uid="{939B7B28-4EF7-4495-A76C-94C6DC6F6A9F}"/>
    <cellStyle name="Currency 3 2 5" xfId="185" xr:uid="{00000000-0005-0000-0000-0000430B0000}"/>
    <cellStyle name="Currency 3 2 5 10" xfId="8864" xr:uid="{B0F1CBB2-FC60-4B48-ACF9-232EEC7B42D7}"/>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3EF2FA86-3B9D-498A-A4AE-B5E36D7C1624}"/>
    <cellStyle name="Currency 3 2 5 2 2 3" xfId="11423" xr:uid="{71CA3018-3AD4-4316-B62F-AC580881089E}"/>
    <cellStyle name="Currency 3 2 5 2 3" xfId="5054" xr:uid="{00000000-0005-0000-0000-0000470B0000}"/>
    <cellStyle name="Currency 3 2 5 2 3 2" xfId="13496" xr:uid="{68E91B77-A3BE-440D-B5DA-E5D9910B2115}"/>
    <cellStyle name="Currency 3 2 5 2 4" xfId="9278" xr:uid="{514BF383-A812-410B-8C95-FA5EB5E157D1}"/>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81DE11FC-D97A-4231-A23A-379A93988543}"/>
    <cellStyle name="Currency 3 2 5 3 2 3" xfId="11836" xr:uid="{E1C90EC1-AEDC-405D-B358-6282FF764070}"/>
    <cellStyle name="Currency 3 2 5 3 3" xfId="5467" xr:uid="{00000000-0005-0000-0000-00004B0B0000}"/>
    <cellStyle name="Currency 3 2 5 3 3 2" xfId="13909" xr:uid="{53CE995D-783E-4AC3-A233-9376F5AD5016}"/>
    <cellStyle name="Currency 3 2 5 3 4" xfId="9691" xr:uid="{1C65B112-9EC7-4B80-A2F0-128CFF06CA69}"/>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E329E464-6002-4CBE-ABB4-5CDE915B16D7}"/>
    <cellStyle name="Currency 3 2 5 4 2 3" xfId="12249" xr:uid="{E2F4416D-6C68-49F2-A924-97D987FC8AEE}"/>
    <cellStyle name="Currency 3 2 5 4 3" xfId="5880" xr:uid="{00000000-0005-0000-0000-00004F0B0000}"/>
    <cellStyle name="Currency 3 2 5 4 3 2" xfId="14322" xr:uid="{94F226E2-CEFD-45BF-B5EA-210EB7A47EB3}"/>
    <cellStyle name="Currency 3 2 5 4 4" xfId="10104" xr:uid="{026BB694-FAFA-4BE4-9C51-9971F1AFE342}"/>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D26E1FD4-6782-4CC2-929F-276DC2F0208A}"/>
    <cellStyle name="Currency 3 2 5 5 2 3" xfId="12662" xr:uid="{49650AF6-7814-4EB9-BCE4-1AAF442D3559}"/>
    <cellStyle name="Currency 3 2 5 5 3" xfId="6293" xr:uid="{00000000-0005-0000-0000-0000530B0000}"/>
    <cellStyle name="Currency 3 2 5 5 3 2" xfId="14735" xr:uid="{68FC1797-A89C-4036-AD4D-8C674D8386C3}"/>
    <cellStyle name="Currency 3 2 5 5 4" xfId="10517" xr:uid="{645C89F0-17B4-4235-871F-ED9AD68E4988}"/>
    <cellStyle name="Currency 3 2 5 6" xfId="2421" xr:uid="{00000000-0005-0000-0000-0000540B0000}"/>
    <cellStyle name="Currency 3 2 5 6 2" xfId="6706" xr:uid="{00000000-0005-0000-0000-0000550B0000}"/>
    <cellStyle name="Currency 3 2 5 6 2 2" xfId="15148" xr:uid="{724C731A-1F93-4C9D-8E2B-BB9B948671E2}"/>
    <cellStyle name="Currency 3 2 5 6 3" xfId="10930" xr:uid="{C85D43D7-973F-49EC-A9E2-8BD389004826}"/>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C445AFC6-3E55-415F-8745-99EEFA20F89F}"/>
    <cellStyle name="Currency 3 2 5 8 3" xfId="11247" xr:uid="{185DED4F-AAFF-4D45-A6DC-00B5C1188395}"/>
    <cellStyle name="Currency 3 2 5 9" xfId="4640" xr:uid="{00000000-0005-0000-0000-0000590B0000}"/>
    <cellStyle name="Currency 3 2 5 9 2" xfId="13082" xr:uid="{E0CAEFE6-4630-44BD-99E2-568D4C3467FF}"/>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64780B17-26A1-44F0-839D-502344C420D2}"/>
    <cellStyle name="Currency 5 2 2 2 10 3" xfId="11248" xr:uid="{B952C4BE-F7FE-4236-B2A6-0EA6AC73B078}"/>
    <cellStyle name="Currency 5 2 2 2 11" xfId="4641" xr:uid="{00000000-0005-0000-0000-00006C0B0000}"/>
    <cellStyle name="Currency 5 2 2 2 11 2" xfId="13083" xr:uid="{AF1ED627-862D-4C13-AFF7-91F7D24E709D}"/>
    <cellStyle name="Currency 5 2 2 2 12" xfId="8865" xr:uid="{00BFFFEE-B145-475D-B968-6C9327CFA53B}"/>
    <cellStyle name="Currency 5 2 2 2 2" xfId="197" xr:uid="{00000000-0005-0000-0000-00006D0B0000}"/>
    <cellStyle name="Currency 5 2 2 2 2 10" xfId="4642" xr:uid="{00000000-0005-0000-0000-00006E0B0000}"/>
    <cellStyle name="Currency 5 2 2 2 2 10 2" xfId="13084" xr:uid="{C0A1CC76-5666-4D37-99A9-A0A13055FCF9}"/>
    <cellStyle name="Currency 5 2 2 2 2 11" xfId="8866" xr:uid="{99C4776B-D07D-47B2-A550-4DDE9B1A4719}"/>
    <cellStyle name="Currency 5 2 2 2 2 2" xfId="198" xr:uid="{00000000-0005-0000-0000-00006F0B0000}"/>
    <cellStyle name="Currency 5 2 2 2 2 2 10" xfId="8867" xr:uid="{F0E51AE8-8FAD-4152-B952-92CA5449134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BB86DA95-AE0E-4AEE-8836-A9B37A28503E}"/>
    <cellStyle name="Currency 5 2 2 2 2 2 2 2 3" xfId="11426" xr:uid="{23DDC8F1-6D24-4305-9F55-67E8ACCAAE6D}"/>
    <cellStyle name="Currency 5 2 2 2 2 2 2 3" xfId="5057" xr:uid="{00000000-0005-0000-0000-0000730B0000}"/>
    <cellStyle name="Currency 5 2 2 2 2 2 2 3 2" xfId="13499" xr:uid="{D0A56DD1-DCAB-4901-8F53-27DB3DA85EAB}"/>
    <cellStyle name="Currency 5 2 2 2 2 2 2 4" xfId="9281" xr:uid="{3CF8DA5D-E7B4-4329-8DBF-A6D7092EE159}"/>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4F8B86EC-EADE-4115-9BF9-DD23757BB9C3}"/>
    <cellStyle name="Currency 5 2 2 2 2 2 3 2 3" xfId="11839" xr:uid="{FBEC6C12-D351-44CC-B132-AB34BD52DFFF}"/>
    <cellStyle name="Currency 5 2 2 2 2 2 3 3" xfId="5470" xr:uid="{00000000-0005-0000-0000-0000770B0000}"/>
    <cellStyle name="Currency 5 2 2 2 2 2 3 3 2" xfId="13912" xr:uid="{A8AAD8B3-38CE-4FA8-A168-6C99F2ADE894}"/>
    <cellStyle name="Currency 5 2 2 2 2 2 3 4" xfId="9694" xr:uid="{0301BF04-8FA4-406D-A589-5B108BC62BB1}"/>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4F469C6C-7ADB-47B4-AB50-0F1F01AB47B9}"/>
    <cellStyle name="Currency 5 2 2 2 2 2 4 2 3" xfId="12252" xr:uid="{ADAADD45-0F2F-48BE-A081-5ACB42B282B3}"/>
    <cellStyle name="Currency 5 2 2 2 2 2 4 3" xfId="5883" xr:uid="{00000000-0005-0000-0000-00007B0B0000}"/>
    <cellStyle name="Currency 5 2 2 2 2 2 4 3 2" xfId="14325" xr:uid="{FE324EB4-0A32-48CE-9F01-89C1E65E7FC4}"/>
    <cellStyle name="Currency 5 2 2 2 2 2 4 4" xfId="10107" xr:uid="{FC237BE6-F992-4140-90EC-836A6CC026C9}"/>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3D03D342-B082-4508-8074-C1DAE4E52F82}"/>
    <cellStyle name="Currency 5 2 2 2 2 2 5 2 3" xfId="12665" xr:uid="{7C6949E6-5AAE-49A4-8DAB-51D1D86BC58B}"/>
    <cellStyle name="Currency 5 2 2 2 2 2 5 3" xfId="6296" xr:uid="{00000000-0005-0000-0000-00007F0B0000}"/>
    <cellStyle name="Currency 5 2 2 2 2 2 5 3 2" xfId="14738" xr:uid="{A1B6F11D-1E79-4F5A-9DB9-F342EE615535}"/>
    <cellStyle name="Currency 5 2 2 2 2 2 5 4" xfId="10520" xr:uid="{A62168D8-0D2D-4852-9AB3-D2795FCE3B47}"/>
    <cellStyle name="Currency 5 2 2 2 2 2 6" xfId="2424" xr:uid="{00000000-0005-0000-0000-0000800B0000}"/>
    <cellStyle name="Currency 5 2 2 2 2 2 6 2" xfId="6709" xr:uid="{00000000-0005-0000-0000-0000810B0000}"/>
    <cellStyle name="Currency 5 2 2 2 2 2 6 2 2" xfId="15151" xr:uid="{6227A543-B525-4792-B816-02D67261B14B}"/>
    <cellStyle name="Currency 5 2 2 2 2 2 6 3" xfId="10933" xr:uid="{C5EF2E0C-09AF-4910-A740-27C3ECF6C3E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291103DE-6AB2-4E25-88B0-28EE415E5341}"/>
    <cellStyle name="Currency 5 2 2 2 2 2 8 3" xfId="11250" xr:uid="{3B296ACE-C6FD-470A-A58A-AAB7CB8CFA82}"/>
    <cellStyle name="Currency 5 2 2 2 2 2 9" xfId="4643" xr:uid="{00000000-0005-0000-0000-0000850B0000}"/>
    <cellStyle name="Currency 5 2 2 2 2 2 9 2" xfId="13085" xr:uid="{BC352526-77C8-4E1E-9B48-C8A877A5821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41614246-CC80-44D8-9BD7-B60AD054571A}"/>
    <cellStyle name="Currency 5 2 2 2 2 3 2 3" xfId="11425" xr:uid="{C185E950-0077-4869-85B0-09CB9D0A7D87}"/>
    <cellStyle name="Currency 5 2 2 2 2 3 3" xfId="5056" xr:uid="{00000000-0005-0000-0000-0000890B0000}"/>
    <cellStyle name="Currency 5 2 2 2 2 3 3 2" xfId="13498" xr:uid="{1DF4EE74-C8B6-4A85-A9EE-DED974E6B218}"/>
    <cellStyle name="Currency 5 2 2 2 2 3 4" xfId="9280" xr:uid="{1F1E4318-D2A0-488D-B6A8-095EFBE9B578}"/>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E00F7323-385A-4568-AE58-7EAED9591F47}"/>
    <cellStyle name="Currency 5 2 2 2 2 4 2 3" xfId="11838" xr:uid="{FC0F960E-C900-4BF1-8E14-19AC92E84907}"/>
    <cellStyle name="Currency 5 2 2 2 2 4 3" xfId="5469" xr:uid="{00000000-0005-0000-0000-00008D0B0000}"/>
    <cellStyle name="Currency 5 2 2 2 2 4 3 2" xfId="13911" xr:uid="{7D54DEB6-5214-4CBA-90B5-AEB90968F550}"/>
    <cellStyle name="Currency 5 2 2 2 2 4 4" xfId="9693" xr:uid="{10F2D77C-6047-4128-8FED-C80C47F07193}"/>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D9E820A4-CE6F-4B29-AA42-295F816451AE}"/>
    <cellStyle name="Currency 5 2 2 2 2 5 2 3" xfId="12251" xr:uid="{38D97A09-8E12-4E09-97F1-152289186952}"/>
    <cellStyle name="Currency 5 2 2 2 2 5 3" xfId="5882" xr:uid="{00000000-0005-0000-0000-0000910B0000}"/>
    <cellStyle name="Currency 5 2 2 2 2 5 3 2" xfId="14324" xr:uid="{4BB719E9-CA91-4D9B-A962-D223EDCB16AE}"/>
    <cellStyle name="Currency 5 2 2 2 2 5 4" xfId="10106" xr:uid="{F4A1BA33-5A40-4DB4-B352-70D67D6DF5ED}"/>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F4B7568D-3801-4284-A2A1-95724880EC64}"/>
    <cellStyle name="Currency 5 2 2 2 2 6 2 3" xfId="12664" xr:uid="{443A08A2-EA3D-4B91-8C38-FE6CC83C11E7}"/>
    <cellStyle name="Currency 5 2 2 2 2 6 3" xfId="6295" xr:uid="{00000000-0005-0000-0000-0000950B0000}"/>
    <cellStyle name="Currency 5 2 2 2 2 6 3 2" xfId="14737" xr:uid="{87DD9C23-4D2F-4B37-AD8C-84BF0995CA7D}"/>
    <cellStyle name="Currency 5 2 2 2 2 6 4" xfId="10519" xr:uid="{CE92F585-D3CF-4C2B-997E-049DE3EF0320}"/>
    <cellStyle name="Currency 5 2 2 2 2 7" xfId="2423" xr:uid="{00000000-0005-0000-0000-0000960B0000}"/>
    <cellStyle name="Currency 5 2 2 2 2 7 2" xfId="6708" xr:uid="{00000000-0005-0000-0000-0000970B0000}"/>
    <cellStyle name="Currency 5 2 2 2 2 7 2 2" xfId="15150" xr:uid="{99E586E8-2899-4BF5-86F1-85B97A421C3F}"/>
    <cellStyle name="Currency 5 2 2 2 2 7 3" xfId="10932" xr:uid="{45EF89CC-9F6D-4CDF-B524-CCD9B661A4A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EB42253F-8C8C-47E9-8CED-2836F0FBB564}"/>
    <cellStyle name="Currency 5 2 2 2 2 9 3" xfId="11249" xr:uid="{A7AD05A8-CD7B-424E-B295-D30058D68CF4}"/>
    <cellStyle name="Currency 5 2 2 2 3" xfId="199" xr:uid="{00000000-0005-0000-0000-00009B0B0000}"/>
    <cellStyle name="Currency 5 2 2 2 3 10" xfId="8868" xr:uid="{EAD6AEDB-F848-4175-A967-4AB021408A76}"/>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5CCBFFCD-F012-4167-96F5-8202308985E0}"/>
    <cellStyle name="Currency 5 2 2 2 3 2 2 3" xfId="11427" xr:uid="{9181F7AD-C2F3-4613-9DFB-D479BCBBC74D}"/>
    <cellStyle name="Currency 5 2 2 2 3 2 3" xfId="5058" xr:uid="{00000000-0005-0000-0000-00009F0B0000}"/>
    <cellStyle name="Currency 5 2 2 2 3 2 3 2" xfId="13500" xr:uid="{F3613CE9-8F08-43DD-85E7-D1F0F881D105}"/>
    <cellStyle name="Currency 5 2 2 2 3 2 4" xfId="9282" xr:uid="{3CD6483C-A889-4DF1-99A3-B48310D45396}"/>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16491F12-56BF-46C8-A30C-D169FE9CF79E}"/>
    <cellStyle name="Currency 5 2 2 2 3 3 2 3" xfId="11840" xr:uid="{4B78767A-47D5-45BF-944F-9FCDCB5939EC}"/>
    <cellStyle name="Currency 5 2 2 2 3 3 3" xfId="5471" xr:uid="{00000000-0005-0000-0000-0000A30B0000}"/>
    <cellStyle name="Currency 5 2 2 2 3 3 3 2" xfId="13913" xr:uid="{0642DE73-0E9B-4128-9B7A-05D420290668}"/>
    <cellStyle name="Currency 5 2 2 2 3 3 4" xfId="9695" xr:uid="{3EF196B8-EF48-43FB-8D63-DDA9CDAF882F}"/>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CFB0EE00-2AC9-45E6-8008-B570163F2916}"/>
    <cellStyle name="Currency 5 2 2 2 3 4 2 3" xfId="12253" xr:uid="{BA00B9B1-2CFD-4C39-B525-DC3E6802E851}"/>
    <cellStyle name="Currency 5 2 2 2 3 4 3" xfId="5884" xr:uid="{00000000-0005-0000-0000-0000A70B0000}"/>
    <cellStyle name="Currency 5 2 2 2 3 4 3 2" xfId="14326" xr:uid="{C27CF6E1-B920-4D1D-8C44-677C40076DD5}"/>
    <cellStyle name="Currency 5 2 2 2 3 4 4" xfId="10108" xr:uid="{ED52E646-762F-4DA7-81D4-E03ABCA89B3A}"/>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3CF7598-1912-4422-BF15-E5A163EB6D70}"/>
    <cellStyle name="Currency 5 2 2 2 3 5 2 3" xfId="12666" xr:uid="{AE3DC3EE-147C-4AFB-9F9C-DE0DF0ECA634}"/>
    <cellStyle name="Currency 5 2 2 2 3 5 3" xfId="6297" xr:uid="{00000000-0005-0000-0000-0000AB0B0000}"/>
    <cellStyle name="Currency 5 2 2 2 3 5 3 2" xfId="14739" xr:uid="{28062137-03B8-406D-B947-17A0D1B34362}"/>
    <cellStyle name="Currency 5 2 2 2 3 5 4" xfId="10521" xr:uid="{1FCC2960-38BB-4C66-B239-3ADC14127DA6}"/>
    <cellStyle name="Currency 5 2 2 2 3 6" xfId="2425" xr:uid="{00000000-0005-0000-0000-0000AC0B0000}"/>
    <cellStyle name="Currency 5 2 2 2 3 6 2" xfId="6710" xr:uid="{00000000-0005-0000-0000-0000AD0B0000}"/>
    <cellStyle name="Currency 5 2 2 2 3 6 2 2" xfId="15152" xr:uid="{BA749F4B-AAD7-4892-84D1-1CD2553B65A1}"/>
    <cellStyle name="Currency 5 2 2 2 3 6 3" xfId="10934" xr:uid="{0B50132C-6D16-4460-8761-27289BB4EDE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010E95C0-F5A1-4D30-BECB-9F1FE8CC2807}"/>
    <cellStyle name="Currency 5 2 2 2 3 8 3" xfId="11251" xr:uid="{B4C93615-6361-4911-A403-611B69FCC9BB}"/>
    <cellStyle name="Currency 5 2 2 2 3 9" xfId="4644" xr:uid="{00000000-0005-0000-0000-0000B10B0000}"/>
    <cellStyle name="Currency 5 2 2 2 3 9 2" xfId="13086" xr:uid="{0A8B3EEF-D44B-4933-8BEB-5C76614B34B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9C8B6FDF-3E39-4176-A5F9-F9CBF7D21FA8}"/>
    <cellStyle name="Currency 5 2 2 2 4 2 3" xfId="11424" xr:uid="{534DB6EA-7A6E-4B38-9EA3-9BB70DC88C7D}"/>
    <cellStyle name="Currency 5 2 2 2 4 3" xfId="5055" xr:uid="{00000000-0005-0000-0000-0000B50B0000}"/>
    <cellStyle name="Currency 5 2 2 2 4 3 2" xfId="13497" xr:uid="{FB5B7C8F-DA32-43B9-9793-886F6C64B9D0}"/>
    <cellStyle name="Currency 5 2 2 2 4 4" xfId="9279" xr:uid="{A603AB43-B7ED-4C01-8F16-1A624DEDE3A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CADF8640-3DBF-43CC-9127-74F0FF9A2E2C}"/>
    <cellStyle name="Currency 5 2 2 2 5 2 3" xfId="11837" xr:uid="{77286FC4-B06F-414D-8924-3E6125B46839}"/>
    <cellStyle name="Currency 5 2 2 2 5 3" xfId="5468" xr:uid="{00000000-0005-0000-0000-0000B90B0000}"/>
    <cellStyle name="Currency 5 2 2 2 5 3 2" xfId="13910" xr:uid="{0979297A-99AC-450D-B5A4-66237F38441E}"/>
    <cellStyle name="Currency 5 2 2 2 5 4" xfId="9692" xr:uid="{8A2C2F73-84E0-4735-BDDD-1C9FC41230B9}"/>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4D2BFC8E-772E-48CD-82E3-704B2DCB78CA}"/>
    <cellStyle name="Currency 5 2 2 2 6 2 3" xfId="12250" xr:uid="{81851EE0-3BE1-4495-BE40-D08ECBFA0E98}"/>
    <cellStyle name="Currency 5 2 2 2 6 3" xfId="5881" xr:uid="{00000000-0005-0000-0000-0000BD0B0000}"/>
    <cellStyle name="Currency 5 2 2 2 6 3 2" xfId="14323" xr:uid="{D1ABA0C6-C84E-4570-9118-54956537C116}"/>
    <cellStyle name="Currency 5 2 2 2 6 4" xfId="10105" xr:uid="{54C195AD-B1BD-4380-836A-B7B47F570336}"/>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97BC598D-AB4E-4307-8970-FF7BC3EB069B}"/>
    <cellStyle name="Currency 5 2 2 2 7 2 3" xfId="12663" xr:uid="{0A9A7366-D58C-49B7-9D36-2DFA2129D0B6}"/>
    <cellStyle name="Currency 5 2 2 2 7 3" xfId="6294" xr:uid="{00000000-0005-0000-0000-0000C10B0000}"/>
    <cellStyle name="Currency 5 2 2 2 7 3 2" xfId="14736" xr:uid="{22E7998D-48DA-48A7-AEB8-BC2EC1E60E11}"/>
    <cellStyle name="Currency 5 2 2 2 7 4" xfId="10518" xr:uid="{837F310C-7E33-44C1-BAF0-34613B55CA68}"/>
    <cellStyle name="Currency 5 2 2 2 8" xfId="2422" xr:uid="{00000000-0005-0000-0000-0000C20B0000}"/>
    <cellStyle name="Currency 5 2 2 2 8 2" xfId="6707" xr:uid="{00000000-0005-0000-0000-0000C30B0000}"/>
    <cellStyle name="Currency 5 2 2 2 8 2 2" xfId="15149" xr:uid="{EB4E96DD-64AF-4541-8D57-4DDBBF6C4366}"/>
    <cellStyle name="Currency 5 2 2 2 8 3" xfId="10931" xr:uid="{C59521FE-7DE4-41A7-AFC1-63E5457735F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42307DAF-95BF-4AB7-8E2B-61F541433035}"/>
    <cellStyle name="Currency 5 2 2 3 11" xfId="8869" xr:uid="{15C068E3-75E4-4D70-91B9-DA1E4FEFE9D3}"/>
    <cellStyle name="Currency 5 2 2 3 2" xfId="201" xr:uid="{00000000-0005-0000-0000-0000C70B0000}"/>
    <cellStyle name="Currency 5 2 2 3 2 10" xfId="8870" xr:uid="{0CCD1330-80FA-4BFE-8E85-E0C5C743716D}"/>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8072A929-3182-438B-A7DB-829B32CF7BCF}"/>
    <cellStyle name="Currency 5 2 2 3 2 2 2 3" xfId="11429" xr:uid="{0D8571DD-1CAF-47C5-9132-CAED8C0A3837}"/>
    <cellStyle name="Currency 5 2 2 3 2 2 3" xfId="5060" xr:uid="{00000000-0005-0000-0000-0000CB0B0000}"/>
    <cellStyle name="Currency 5 2 2 3 2 2 3 2" xfId="13502" xr:uid="{77E471ED-E2E3-4F29-8820-ACBA980C3191}"/>
    <cellStyle name="Currency 5 2 2 3 2 2 4" xfId="9284" xr:uid="{F6321379-5CBC-4F53-8A4B-24EB0E28FB31}"/>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53767F03-7CF5-4E8E-B755-2EAD0D71D5CD}"/>
    <cellStyle name="Currency 5 2 2 3 2 3 2 3" xfId="11842" xr:uid="{2319ED3F-BAE1-46D9-B274-B9F046ED3114}"/>
    <cellStyle name="Currency 5 2 2 3 2 3 3" xfId="5473" xr:uid="{00000000-0005-0000-0000-0000CF0B0000}"/>
    <cellStyle name="Currency 5 2 2 3 2 3 3 2" xfId="13915" xr:uid="{94C65DD3-4986-4303-8A4D-B588929817C0}"/>
    <cellStyle name="Currency 5 2 2 3 2 3 4" xfId="9697" xr:uid="{5450AB9F-1599-45CA-B5EB-6909612E1D46}"/>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84D0B814-46F8-451C-950F-898A5B766EC1}"/>
    <cellStyle name="Currency 5 2 2 3 2 4 2 3" xfId="12255" xr:uid="{F0DF0313-ABC6-4F2A-9D98-D275B1D9A9E6}"/>
    <cellStyle name="Currency 5 2 2 3 2 4 3" xfId="5886" xr:uid="{00000000-0005-0000-0000-0000D30B0000}"/>
    <cellStyle name="Currency 5 2 2 3 2 4 3 2" xfId="14328" xr:uid="{CC68BEF3-921C-4C16-BC89-553E68471B9F}"/>
    <cellStyle name="Currency 5 2 2 3 2 4 4" xfId="10110" xr:uid="{8C522336-ABDC-465C-A8EF-28B56801AE5D}"/>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A319B67B-BC44-4413-AAED-BFDB371B0EC8}"/>
    <cellStyle name="Currency 5 2 2 3 2 5 2 3" xfId="12668" xr:uid="{12C5F6B5-3D8E-49D6-8103-EDF3235E5BE7}"/>
    <cellStyle name="Currency 5 2 2 3 2 5 3" xfId="6299" xr:uid="{00000000-0005-0000-0000-0000D70B0000}"/>
    <cellStyle name="Currency 5 2 2 3 2 5 3 2" xfId="14741" xr:uid="{903A492A-079F-45C8-9BE9-2DB8E6F4B82C}"/>
    <cellStyle name="Currency 5 2 2 3 2 5 4" xfId="10523" xr:uid="{A246DA76-215E-483D-8500-DE25E550D6A9}"/>
    <cellStyle name="Currency 5 2 2 3 2 6" xfId="2427" xr:uid="{00000000-0005-0000-0000-0000D80B0000}"/>
    <cellStyle name="Currency 5 2 2 3 2 6 2" xfId="6712" xr:uid="{00000000-0005-0000-0000-0000D90B0000}"/>
    <cellStyle name="Currency 5 2 2 3 2 6 2 2" xfId="15154" xr:uid="{7C2AA4FA-A403-4437-973A-87386C6FE2B9}"/>
    <cellStyle name="Currency 5 2 2 3 2 6 3" xfId="10936" xr:uid="{53335996-F68C-4DCD-AC1D-3672CEAE107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94E56356-2E51-4D95-826E-148ADBE0DE74}"/>
    <cellStyle name="Currency 5 2 2 3 2 8 3" xfId="11253" xr:uid="{77BF9C6E-5B30-4BA0-B1E6-DDC35EC2A313}"/>
    <cellStyle name="Currency 5 2 2 3 2 9" xfId="4646" xr:uid="{00000000-0005-0000-0000-0000DD0B0000}"/>
    <cellStyle name="Currency 5 2 2 3 2 9 2" xfId="13088" xr:uid="{BC8DA491-A8C7-4A7D-B027-C0D8EC53D64F}"/>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C6EEA9B1-8674-4F80-AE50-A51F47BB8860}"/>
    <cellStyle name="Currency 5 2 2 3 3 2 3" xfId="11428" xr:uid="{5DE346B7-43EF-4028-AA95-CBA84FCF2093}"/>
    <cellStyle name="Currency 5 2 2 3 3 3" xfId="5059" xr:uid="{00000000-0005-0000-0000-0000E10B0000}"/>
    <cellStyle name="Currency 5 2 2 3 3 3 2" xfId="13501" xr:uid="{71D914A7-A1C4-436E-A797-45DD3EBB07AB}"/>
    <cellStyle name="Currency 5 2 2 3 3 4" xfId="9283" xr:uid="{B74A3501-49A0-4C99-8B1E-450C421FFBB3}"/>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130AA90F-A1DE-4536-A5E7-BFE64F5C659F}"/>
    <cellStyle name="Currency 5 2 2 3 4 2 3" xfId="11841" xr:uid="{BAE57842-A32E-411B-9CB1-00A7E5D9D4B3}"/>
    <cellStyle name="Currency 5 2 2 3 4 3" xfId="5472" xr:uid="{00000000-0005-0000-0000-0000E50B0000}"/>
    <cellStyle name="Currency 5 2 2 3 4 3 2" xfId="13914" xr:uid="{5ECA7CD0-75A6-41B1-B5B3-DED876DB72CD}"/>
    <cellStyle name="Currency 5 2 2 3 4 4" xfId="9696" xr:uid="{BEB61FA3-7D8B-45A8-AE6A-FC4343BFFD3E}"/>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B4B24132-E588-4C1D-BEE2-85787B02E894}"/>
    <cellStyle name="Currency 5 2 2 3 5 2 3" xfId="12254" xr:uid="{90CB5557-628E-4424-8A7B-10C4233509AB}"/>
    <cellStyle name="Currency 5 2 2 3 5 3" xfId="5885" xr:uid="{00000000-0005-0000-0000-0000E90B0000}"/>
    <cellStyle name="Currency 5 2 2 3 5 3 2" xfId="14327" xr:uid="{3C9B4168-EAB0-48E6-9860-858797D435C8}"/>
    <cellStyle name="Currency 5 2 2 3 5 4" xfId="10109" xr:uid="{A6B67A67-3AC3-4D24-BCB0-A08718EAA171}"/>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D806688E-69BF-411F-BB1D-7DE299584E6D}"/>
    <cellStyle name="Currency 5 2 2 3 6 2 3" xfId="12667" xr:uid="{9EE280C0-D1A0-4646-B719-23298FCD4859}"/>
    <cellStyle name="Currency 5 2 2 3 6 3" xfId="6298" xr:uid="{00000000-0005-0000-0000-0000ED0B0000}"/>
    <cellStyle name="Currency 5 2 2 3 6 3 2" xfId="14740" xr:uid="{AAA5B9C0-0967-4EF7-923B-E6FA5803931D}"/>
    <cellStyle name="Currency 5 2 2 3 6 4" xfId="10522" xr:uid="{47466FA3-5591-465C-91F2-89D3D3949EC7}"/>
    <cellStyle name="Currency 5 2 2 3 7" xfId="2426" xr:uid="{00000000-0005-0000-0000-0000EE0B0000}"/>
    <cellStyle name="Currency 5 2 2 3 7 2" xfId="6711" xr:uid="{00000000-0005-0000-0000-0000EF0B0000}"/>
    <cellStyle name="Currency 5 2 2 3 7 2 2" xfId="15153" xr:uid="{4169C033-5DE5-403B-A497-CE651B00662E}"/>
    <cellStyle name="Currency 5 2 2 3 7 3" xfId="10935" xr:uid="{06619C17-951F-48E1-9403-25EF5A3FBB3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C7206EC3-DBC4-44F8-87DC-B3F750897381}"/>
    <cellStyle name="Currency 5 2 2 3 9 3" xfId="11252" xr:uid="{564E99B6-0965-4699-89BE-10AC61694130}"/>
    <cellStyle name="Currency 5 2 2 4" xfId="202" xr:uid="{00000000-0005-0000-0000-0000F30B0000}"/>
    <cellStyle name="Currency 5 2 2 4 10" xfId="8871" xr:uid="{79C0A3F5-0FB3-4384-AC82-D66CD71CE3B5}"/>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4FD9F590-379B-41D3-ADA7-D5C2C625F0CB}"/>
    <cellStyle name="Currency 5 2 2 4 2 2 3" xfId="11430" xr:uid="{9F9A853A-F651-4282-AFAC-CB24CD9E42AE}"/>
    <cellStyle name="Currency 5 2 2 4 2 3" xfId="5061" xr:uid="{00000000-0005-0000-0000-0000F70B0000}"/>
    <cellStyle name="Currency 5 2 2 4 2 3 2" xfId="13503" xr:uid="{5F24A659-BB7D-4017-8728-3E60F3AE2B80}"/>
    <cellStyle name="Currency 5 2 2 4 2 4" xfId="9285" xr:uid="{4337CFB4-E929-4CB9-B3B2-FD8F7ADFE30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2AD6FBCB-B159-4518-AC63-0B045C1F2E0D}"/>
    <cellStyle name="Currency 5 2 2 4 3 2 3" xfId="11843" xr:uid="{14C1ED1E-3524-4F7B-9C66-D043873F6D5F}"/>
    <cellStyle name="Currency 5 2 2 4 3 3" xfId="5474" xr:uid="{00000000-0005-0000-0000-0000FB0B0000}"/>
    <cellStyle name="Currency 5 2 2 4 3 3 2" xfId="13916" xr:uid="{A767EE84-5377-4679-AB28-682A4161749A}"/>
    <cellStyle name="Currency 5 2 2 4 3 4" xfId="9698" xr:uid="{DD800882-3A99-44C6-9D97-989D47A0721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13966A65-0EBC-447C-989D-F4F0AB9A7073}"/>
    <cellStyle name="Currency 5 2 2 4 4 2 3" xfId="12256" xr:uid="{B30B19EC-A24B-45D4-9DF8-4336391D129E}"/>
    <cellStyle name="Currency 5 2 2 4 4 3" xfId="5887" xr:uid="{00000000-0005-0000-0000-0000FF0B0000}"/>
    <cellStyle name="Currency 5 2 2 4 4 3 2" xfId="14329" xr:uid="{E31B09C2-EAFA-4522-8476-38020763FE2C}"/>
    <cellStyle name="Currency 5 2 2 4 4 4" xfId="10111" xr:uid="{0C484539-CEA1-420D-8287-D76712A6E87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B0B9E94E-58C8-477F-8DF0-BFE364F1A0E4}"/>
    <cellStyle name="Currency 5 2 2 4 5 2 3" xfId="12669" xr:uid="{15797DF5-AD5A-4CD6-9B69-4D030B8E3C3A}"/>
    <cellStyle name="Currency 5 2 2 4 5 3" xfId="6300" xr:uid="{00000000-0005-0000-0000-0000030C0000}"/>
    <cellStyle name="Currency 5 2 2 4 5 3 2" xfId="14742" xr:uid="{72F6A5AE-11A2-4F64-9CB7-4C5B33CFD22E}"/>
    <cellStyle name="Currency 5 2 2 4 5 4" xfId="10524" xr:uid="{FF05F797-7C37-4242-A632-20A7079A005B}"/>
    <cellStyle name="Currency 5 2 2 4 6" xfId="2428" xr:uid="{00000000-0005-0000-0000-0000040C0000}"/>
    <cellStyle name="Currency 5 2 2 4 6 2" xfId="6713" xr:uid="{00000000-0005-0000-0000-0000050C0000}"/>
    <cellStyle name="Currency 5 2 2 4 6 2 2" xfId="15155" xr:uid="{A6575E4C-DB31-4112-8034-A83F0A97DA67}"/>
    <cellStyle name="Currency 5 2 2 4 6 3" xfId="10937" xr:uid="{2DB8BF2C-1E15-4E52-842D-7600AD8B9606}"/>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125D1282-8F05-42CF-BDE8-AFAC0A721027}"/>
    <cellStyle name="Currency 5 2 2 4 8 3" xfId="11254" xr:uid="{C07C3838-A8C3-41B5-B386-CD676F21903F}"/>
    <cellStyle name="Currency 5 2 2 4 9" xfId="4647" xr:uid="{00000000-0005-0000-0000-0000090C0000}"/>
    <cellStyle name="Currency 5 2 2 4 9 2" xfId="13089" xr:uid="{F5FF7D15-99E0-4343-8571-ABC963304E4E}"/>
    <cellStyle name="Currency 5 2 2 5" xfId="203" xr:uid="{00000000-0005-0000-0000-00000A0C0000}"/>
    <cellStyle name="Currency 5 2 2 5 10" xfId="8872" xr:uid="{B1C5E1D8-A2DD-43D6-AC88-CDB0682D893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A134AE62-28E0-414D-B777-76CA8C206BAE}"/>
    <cellStyle name="Currency 5 2 2 5 2 2 3" xfId="11431" xr:uid="{41F5128B-62A0-4953-A24E-4A76DB5F9D94}"/>
    <cellStyle name="Currency 5 2 2 5 2 3" xfId="5062" xr:uid="{00000000-0005-0000-0000-00000E0C0000}"/>
    <cellStyle name="Currency 5 2 2 5 2 3 2" xfId="13504" xr:uid="{278528E6-56B9-40FD-AF97-0DE723B57371}"/>
    <cellStyle name="Currency 5 2 2 5 2 4" xfId="9286" xr:uid="{D105921B-1BB5-4002-AAD5-19280EAA9E4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1127AA73-291B-4326-9CC9-E8EE338B200B}"/>
    <cellStyle name="Currency 5 2 2 5 3 2 3" xfId="11844" xr:uid="{15FEAC56-DE9E-4D9D-8C36-5658CE7382E1}"/>
    <cellStyle name="Currency 5 2 2 5 3 3" xfId="5475" xr:uid="{00000000-0005-0000-0000-0000120C0000}"/>
    <cellStyle name="Currency 5 2 2 5 3 3 2" xfId="13917" xr:uid="{461B3C1E-9AD8-4BEC-945A-13F729CB1B22}"/>
    <cellStyle name="Currency 5 2 2 5 3 4" xfId="9699" xr:uid="{A07EB89C-D22D-4934-A963-014CEDA01D73}"/>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0F863ADB-4831-4A32-92BE-5E6CD44E13B4}"/>
    <cellStyle name="Currency 5 2 2 5 4 2 3" xfId="12257" xr:uid="{286BA21E-1A29-4C2A-B252-66C411D3C478}"/>
    <cellStyle name="Currency 5 2 2 5 4 3" xfId="5888" xr:uid="{00000000-0005-0000-0000-0000160C0000}"/>
    <cellStyle name="Currency 5 2 2 5 4 3 2" xfId="14330" xr:uid="{5BFDB942-492E-4982-9E07-5A205AA0DD76}"/>
    <cellStyle name="Currency 5 2 2 5 4 4" xfId="10112" xr:uid="{A330559A-DAAD-43FD-9422-3CCD9D926165}"/>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EAB1AA91-C37B-41A7-B43A-0C4F820D3975}"/>
    <cellStyle name="Currency 5 2 2 5 5 2 3" xfId="12670" xr:uid="{EA22ABF8-C02C-481C-9360-AA0DD2F92050}"/>
    <cellStyle name="Currency 5 2 2 5 5 3" xfId="6301" xr:uid="{00000000-0005-0000-0000-00001A0C0000}"/>
    <cellStyle name="Currency 5 2 2 5 5 3 2" xfId="14743" xr:uid="{423C8DC9-A808-4B8B-818F-66BCA033348F}"/>
    <cellStyle name="Currency 5 2 2 5 5 4" xfId="10525" xr:uid="{AB1E52EA-7B24-4344-B746-8822929B3F91}"/>
    <cellStyle name="Currency 5 2 2 5 6" xfId="2429" xr:uid="{00000000-0005-0000-0000-00001B0C0000}"/>
    <cellStyle name="Currency 5 2 2 5 6 2" xfId="6714" xr:uid="{00000000-0005-0000-0000-00001C0C0000}"/>
    <cellStyle name="Currency 5 2 2 5 6 2 2" xfId="15156" xr:uid="{79F0BAC1-C152-45B6-8738-1AFFEEBC7CC4}"/>
    <cellStyle name="Currency 5 2 2 5 6 3" xfId="10938" xr:uid="{B54B3F82-53B7-4CCD-A9EF-9C073DD778F7}"/>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11D7ED23-672A-4F40-97D8-B67FC905B916}"/>
    <cellStyle name="Currency 5 2 2 5 8 3" xfId="11255" xr:uid="{ACBBF7F4-58E7-424D-9FD1-1FD0A61F6ACF}"/>
    <cellStyle name="Currency 5 2 2 5 9" xfId="4648" xr:uid="{00000000-0005-0000-0000-0000200C0000}"/>
    <cellStyle name="Currency 5 2 2 5 9 2" xfId="13090" xr:uid="{46DA9462-7EF3-47B9-9789-4BE688669605}"/>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B960F138-FB0A-4D55-B037-2C44149AD531}"/>
    <cellStyle name="Currency 5 2 4 11" xfId="8873" xr:uid="{DFCDE6DD-C217-4747-911C-0156205D94C0}"/>
    <cellStyle name="Currency 5 2 4 2" xfId="206" xr:uid="{00000000-0005-0000-0000-0000250C0000}"/>
    <cellStyle name="Currency 5 2 4 2 10" xfId="8874" xr:uid="{B48EE962-365C-4FB1-9F2F-5DEF81973C38}"/>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F4BCDAC8-D570-4792-9559-C69C302AB9B6}"/>
    <cellStyle name="Currency 5 2 4 2 2 2 3" xfId="11433" xr:uid="{CAC72D4B-4388-4421-BF6C-070B6C90C389}"/>
    <cellStyle name="Currency 5 2 4 2 2 3" xfId="5064" xr:uid="{00000000-0005-0000-0000-0000290C0000}"/>
    <cellStyle name="Currency 5 2 4 2 2 3 2" xfId="13506" xr:uid="{6F24C90B-CFB8-430F-B672-792707D0EB86}"/>
    <cellStyle name="Currency 5 2 4 2 2 4" xfId="9288" xr:uid="{C355B5E9-FA94-41CC-9444-49D30DF38DB7}"/>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5CF53F13-3AFE-490A-AACF-0483EF851312}"/>
    <cellStyle name="Currency 5 2 4 2 3 2 3" xfId="11846" xr:uid="{C9F7C5A1-CBE2-4AE1-AAB3-F6121A7C85DC}"/>
    <cellStyle name="Currency 5 2 4 2 3 3" xfId="5477" xr:uid="{00000000-0005-0000-0000-00002D0C0000}"/>
    <cellStyle name="Currency 5 2 4 2 3 3 2" xfId="13919" xr:uid="{ADACD634-5BC0-4152-98E6-1FD412E71C25}"/>
    <cellStyle name="Currency 5 2 4 2 3 4" xfId="9701" xr:uid="{8898220D-0B8F-4617-B70E-89E21C5C9B0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DAE256D0-2F23-4EB6-B831-3942A1275CAF}"/>
    <cellStyle name="Currency 5 2 4 2 4 2 3" xfId="12259" xr:uid="{DCF61A94-63C5-49D6-9145-1870746A27B3}"/>
    <cellStyle name="Currency 5 2 4 2 4 3" xfId="5890" xr:uid="{00000000-0005-0000-0000-0000310C0000}"/>
    <cellStyle name="Currency 5 2 4 2 4 3 2" xfId="14332" xr:uid="{EFA04699-E5FF-47E0-8EA3-F14FE307EB17}"/>
    <cellStyle name="Currency 5 2 4 2 4 4" xfId="10114" xr:uid="{EF645FC1-743F-4513-87A6-9EE721343168}"/>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0F736866-34F9-48AC-A5F4-B8FEBD5C3A6F}"/>
    <cellStyle name="Currency 5 2 4 2 5 2 3" xfId="12672" xr:uid="{D3FED67A-DDDD-411E-8152-B4FE3BCBA834}"/>
    <cellStyle name="Currency 5 2 4 2 5 3" xfId="6303" xr:uid="{00000000-0005-0000-0000-0000350C0000}"/>
    <cellStyle name="Currency 5 2 4 2 5 3 2" xfId="14745" xr:uid="{F3F905F5-299C-47F4-A4B6-35B21A3F5751}"/>
    <cellStyle name="Currency 5 2 4 2 5 4" xfId="10527" xr:uid="{E65A328E-DBF2-43A3-9DA5-0240D02A7C8E}"/>
    <cellStyle name="Currency 5 2 4 2 6" xfId="2431" xr:uid="{00000000-0005-0000-0000-0000360C0000}"/>
    <cellStyle name="Currency 5 2 4 2 6 2" xfId="6716" xr:uid="{00000000-0005-0000-0000-0000370C0000}"/>
    <cellStyle name="Currency 5 2 4 2 6 2 2" xfId="15158" xr:uid="{3027FD3F-9BA0-4DDC-BBBC-523C68589481}"/>
    <cellStyle name="Currency 5 2 4 2 6 3" xfId="10940" xr:uid="{CE57E066-524E-4EE9-8E0C-549569523C7A}"/>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D3FFDA40-0A3A-4B68-A87A-297921240476}"/>
    <cellStyle name="Currency 5 2 4 2 8 3" xfId="11257" xr:uid="{70F17EE4-29F5-40A9-8AA7-BD0A61637DD5}"/>
    <cellStyle name="Currency 5 2 4 2 9" xfId="4650" xr:uid="{00000000-0005-0000-0000-00003B0C0000}"/>
    <cellStyle name="Currency 5 2 4 2 9 2" xfId="13092" xr:uid="{00CCD93F-582B-4731-85B6-BF64DC236C5E}"/>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DF886CF7-61A9-4D7F-9476-A90B0A2FB4F4}"/>
    <cellStyle name="Currency 5 2 4 3 2 3" xfId="11432" xr:uid="{DF0CBD78-0E99-435F-AD3F-241B7B989ADC}"/>
    <cellStyle name="Currency 5 2 4 3 3" xfId="5063" xr:uid="{00000000-0005-0000-0000-00003F0C0000}"/>
    <cellStyle name="Currency 5 2 4 3 3 2" xfId="13505" xr:uid="{61D8EF05-3B42-4E44-A998-474E42C90CFC}"/>
    <cellStyle name="Currency 5 2 4 3 4" xfId="9287" xr:uid="{23FB009F-34A3-4046-A6CA-EFE71BACF03E}"/>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9052D9B2-2712-49E3-82A3-1F21AEC06791}"/>
    <cellStyle name="Currency 5 2 4 4 2 3" xfId="11845" xr:uid="{787C9991-1614-4B87-8959-4C04406DD6A2}"/>
    <cellStyle name="Currency 5 2 4 4 3" xfId="5476" xr:uid="{00000000-0005-0000-0000-0000430C0000}"/>
    <cellStyle name="Currency 5 2 4 4 3 2" xfId="13918" xr:uid="{9F76E44C-1240-4D2F-9594-5C8B7CBEBD58}"/>
    <cellStyle name="Currency 5 2 4 4 4" xfId="9700" xr:uid="{5A1768F3-3D01-4088-A2E7-7C68B84C5978}"/>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F24A3BCE-63CF-4B03-9082-83C8D8D0CECF}"/>
    <cellStyle name="Currency 5 2 4 5 2 3" xfId="12258" xr:uid="{4A7E7848-828F-47AF-A013-7A9BB311D6F7}"/>
    <cellStyle name="Currency 5 2 4 5 3" xfId="5889" xr:uid="{00000000-0005-0000-0000-0000470C0000}"/>
    <cellStyle name="Currency 5 2 4 5 3 2" xfId="14331" xr:uid="{9DE1519C-341B-428E-BE81-6F4205182D53}"/>
    <cellStyle name="Currency 5 2 4 5 4" xfId="10113" xr:uid="{42C3C727-A7D5-4DBE-BA8F-BA29B1F4315C}"/>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A0CA1693-A96F-4C67-B052-85AED19467B2}"/>
    <cellStyle name="Currency 5 2 4 6 2 3" xfId="12671" xr:uid="{10DF5548-841D-440D-B5A4-B5E0878A51FE}"/>
    <cellStyle name="Currency 5 2 4 6 3" xfId="6302" xr:uid="{00000000-0005-0000-0000-00004B0C0000}"/>
    <cellStyle name="Currency 5 2 4 6 3 2" xfId="14744" xr:uid="{BD1398FC-05A3-4230-B361-2B01D94DDA38}"/>
    <cellStyle name="Currency 5 2 4 6 4" xfId="10526" xr:uid="{445676C0-2AA8-4B51-9FFA-D732353F6424}"/>
    <cellStyle name="Currency 5 2 4 7" xfId="2430" xr:uid="{00000000-0005-0000-0000-00004C0C0000}"/>
    <cellStyle name="Currency 5 2 4 7 2" xfId="6715" xr:uid="{00000000-0005-0000-0000-00004D0C0000}"/>
    <cellStyle name="Currency 5 2 4 7 2 2" xfId="15157" xr:uid="{2AA9FE0D-0D3E-43B0-9502-B80BD0F347F6}"/>
    <cellStyle name="Currency 5 2 4 7 3" xfId="10939" xr:uid="{827560ED-B1B6-4EC3-8429-F46280C9BFB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60C6CA63-8AE5-4805-B510-4838E57C5676}"/>
    <cellStyle name="Currency 5 2 4 9 3" xfId="11256" xr:uid="{D0E1AE26-42F7-480A-A693-D52849A8DC3C}"/>
    <cellStyle name="Currency 5 2 5" xfId="207" xr:uid="{00000000-0005-0000-0000-0000510C0000}"/>
    <cellStyle name="Currency 5 2 5 10" xfId="8875" xr:uid="{7B4E971C-BE69-4A35-9DE7-F16AA5B40B17}"/>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26447A2F-DC8E-45F8-AD15-0BE200513615}"/>
    <cellStyle name="Currency 5 2 5 2 2 3" xfId="11434" xr:uid="{2921BBF4-F556-4564-AD57-3FD8A4E1B62F}"/>
    <cellStyle name="Currency 5 2 5 2 3" xfId="5065" xr:uid="{00000000-0005-0000-0000-0000550C0000}"/>
    <cellStyle name="Currency 5 2 5 2 3 2" xfId="13507" xr:uid="{D95E8337-D95B-4CE6-8170-6DAF322D6EDB}"/>
    <cellStyle name="Currency 5 2 5 2 4" xfId="9289" xr:uid="{E682428E-9BD9-4C2D-88F1-F2F2583A8262}"/>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3F413363-379E-41B8-86F0-588D9A6D44DD}"/>
    <cellStyle name="Currency 5 2 5 3 2 3" xfId="11847" xr:uid="{20D674F0-1EF9-4C2B-9BD0-8C612018EAC5}"/>
    <cellStyle name="Currency 5 2 5 3 3" xfId="5478" xr:uid="{00000000-0005-0000-0000-0000590C0000}"/>
    <cellStyle name="Currency 5 2 5 3 3 2" xfId="13920" xr:uid="{E7A87FC0-D401-4AEB-A678-7DCE5F5BDFCF}"/>
    <cellStyle name="Currency 5 2 5 3 4" xfId="9702" xr:uid="{73B05927-F504-47D6-ABA5-104C9C881897}"/>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63C23511-907D-470C-BBED-B9C952E4CE75}"/>
    <cellStyle name="Currency 5 2 5 4 2 3" xfId="12260" xr:uid="{B3544659-7A73-4BF8-BD0F-F2B3DE26BEDE}"/>
    <cellStyle name="Currency 5 2 5 4 3" xfId="5891" xr:uid="{00000000-0005-0000-0000-00005D0C0000}"/>
    <cellStyle name="Currency 5 2 5 4 3 2" xfId="14333" xr:uid="{B2BD6D95-123F-4912-9FC6-61E31158D10F}"/>
    <cellStyle name="Currency 5 2 5 4 4" xfId="10115" xr:uid="{442532F8-4209-4A58-8909-7E81F64BEF8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6FC76774-F7F7-4343-BEA2-E906CBBEA0A1}"/>
    <cellStyle name="Currency 5 2 5 5 2 3" xfId="12673" xr:uid="{988BC289-A265-42AE-B209-FAD444F5CD98}"/>
    <cellStyle name="Currency 5 2 5 5 3" xfId="6304" xr:uid="{00000000-0005-0000-0000-0000610C0000}"/>
    <cellStyle name="Currency 5 2 5 5 3 2" xfId="14746" xr:uid="{D57E9B54-357F-4C0B-AF51-C495CFF1EA88}"/>
    <cellStyle name="Currency 5 2 5 5 4" xfId="10528" xr:uid="{EA3346B1-4C31-4606-8FBA-CA67C3B8A82B}"/>
    <cellStyle name="Currency 5 2 5 6" xfId="2432" xr:uid="{00000000-0005-0000-0000-0000620C0000}"/>
    <cellStyle name="Currency 5 2 5 6 2" xfId="6717" xr:uid="{00000000-0005-0000-0000-0000630C0000}"/>
    <cellStyle name="Currency 5 2 5 6 2 2" xfId="15159" xr:uid="{4AB3CF09-EFD7-4707-9CF0-63FA94EC30E1}"/>
    <cellStyle name="Currency 5 2 5 6 3" xfId="10941" xr:uid="{C3D91B08-1077-45F4-8061-BCCA1A52857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E167264D-93DE-44EA-8B55-3F3ACFA82741}"/>
    <cellStyle name="Currency 5 2 5 8 3" xfId="11258" xr:uid="{3550C515-86EC-44C7-9138-DB6E5C175A62}"/>
    <cellStyle name="Currency 5 2 5 9" xfId="4651" xr:uid="{00000000-0005-0000-0000-0000670C0000}"/>
    <cellStyle name="Currency 5 2 5 9 2" xfId="13093" xr:uid="{4602074B-2641-44AD-A756-393474663587}"/>
    <cellStyle name="Currency 5 2 6" xfId="208" xr:uid="{00000000-0005-0000-0000-0000680C0000}"/>
    <cellStyle name="Currency 5 2 6 10" xfId="8876" xr:uid="{C4CBC872-5BCE-49CE-B068-A1D430A50A3E}"/>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5B027E48-8516-495B-A74A-449C13C3F9DF}"/>
    <cellStyle name="Currency 5 2 6 2 2 3" xfId="11435" xr:uid="{427A6FFA-DA44-4C1B-8883-5979F73D326F}"/>
    <cellStyle name="Currency 5 2 6 2 3" xfId="5066" xr:uid="{00000000-0005-0000-0000-00006C0C0000}"/>
    <cellStyle name="Currency 5 2 6 2 3 2" xfId="13508" xr:uid="{354C1D0D-4DCF-414E-8F8E-6D49231CDEC2}"/>
    <cellStyle name="Currency 5 2 6 2 4" xfId="9290" xr:uid="{20ADD632-DF9D-42D8-BC4F-EE1E149AAD3F}"/>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9CCFC857-9385-429B-9153-E0A1106ECFEF}"/>
    <cellStyle name="Currency 5 2 6 3 2 3" xfId="11848" xr:uid="{E80F3B6C-3F71-4485-8B01-7F6687596E49}"/>
    <cellStyle name="Currency 5 2 6 3 3" xfId="5479" xr:uid="{00000000-0005-0000-0000-0000700C0000}"/>
    <cellStyle name="Currency 5 2 6 3 3 2" xfId="13921" xr:uid="{B37C4A81-AAF2-427F-9E1F-58E7A996376D}"/>
    <cellStyle name="Currency 5 2 6 3 4" xfId="9703" xr:uid="{F3544182-E97B-4BF1-BA59-5C8F9C5B71B5}"/>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E06781EA-EF24-48B8-9677-38B7AABF0B50}"/>
    <cellStyle name="Currency 5 2 6 4 2 3" xfId="12261" xr:uid="{4C17F7AA-61C3-49F1-BF0A-17C1D1F89346}"/>
    <cellStyle name="Currency 5 2 6 4 3" xfId="5892" xr:uid="{00000000-0005-0000-0000-0000740C0000}"/>
    <cellStyle name="Currency 5 2 6 4 3 2" xfId="14334" xr:uid="{3B2F43F0-FEDF-47AC-AB09-EC835F32DE17}"/>
    <cellStyle name="Currency 5 2 6 4 4" xfId="10116" xr:uid="{7730475A-0B7D-4361-9782-FCCF05E1D35E}"/>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FC0B29EE-FC3E-4E95-8276-F10FBE964D70}"/>
    <cellStyle name="Currency 5 2 6 5 2 3" xfId="12674" xr:uid="{6A7EF3E6-83DD-4EA5-B7DD-4D996046F04F}"/>
    <cellStyle name="Currency 5 2 6 5 3" xfId="6305" xr:uid="{00000000-0005-0000-0000-0000780C0000}"/>
    <cellStyle name="Currency 5 2 6 5 3 2" xfId="14747" xr:uid="{39C786E5-7B2E-4018-A913-CADBC139F0DC}"/>
    <cellStyle name="Currency 5 2 6 5 4" xfId="10529" xr:uid="{BF1EF4C6-8717-47BD-9F3D-7AECF99559E9}"/>
    <cellStyle name="Currency 5 2 6 6" xfId="2433" xr:uid="{00000000-0005-0000-0000-0000790C0000}"/>
    <cellStyle name="Currency 5 2 6 6 2" xfId="6718" xr:uid="{00000000-0005-0000-0000-00007A0C0000}"/>
    <cellStyle name="Currency 5 2 6 6 2 2" xfId="15160" xr:uid="{13C733C2-7348-48DB-9688-3436281A2979}"/>
    <cellStyle name="Currency 5 2 6 6 3" xfId="10942" xr:uid="{D061791F-96F3-4426-805D-26B91A0350B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F2A3A56E-9049-464F-920D-B49045D02908}"/>
    <cellStyle name="Currency 5 2 6 8 3" xfId="11259" xr:uid="{2CE3230B-B40F-46F0-8F3C-4D3794500A40}"/>
    <cellStyle name="Currency 5 2 6 9" xfId="4652" xr:uid="{00000000-0005-0000-0000-00007E0C0000}"/>
    <cellStyle name="Currency 5 2 6 9 2" xfId="13094" xr:uid="{59FDB53F-3045-4F29-BCDE-B3D187089CFA}"/>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34847A7A-A4D1-493C-B799-64D958B2F65B}"/>
    <cellStyle name="Currency 5 3 2 10 3" xfId="11260" xr:uid="{4929334A-EE80-424F-A885-51F52801671D}"/>
    <cellStyle name="Currency 5 3 2 11" xfId="4653" xr:uid="{00000000-0005-0000-0000-0000840C0000}"/>
    <cellStyle name="Currency 5 3 2 11 2" xfId="13095" xr:uid="{A16DB496-2A7D-4F7C-B08A-649607D79396}"/>
    <cellStyle name="Currency 5 3 2 12" xfId="8877" xr:uid="{AB455471-F4E5-446D-9C34-AB5A513173B3}"/>
    <cellStyle name="Currency 5 3 2 2" xfId="211" xr:uid="{00000000-0005-0000-0000-0000850C0000}"/>
    <cellStyle name="Currency 5 3 2 2 10" xfId="4654" xr:uid="{00000000-0005-0000-0000-0000860C0000}"/>
    <cellStyle name="Currency 5 3 2 2 10 2" xfId="13096" xr:uid="{34D03AB2-36D2-42FA-9C8D-5C03C7B82D5D}"/>
    <cellStyle name="Currency 5 3 2 2 11" xfId="8878" xr:uid="{510A7454-AAB6-4643-AEED-AB5A9F2711A6}"/>
    <cellStyle name="Currency 5 3 2 2 2" xfId="212" xr:uid="{00000000-0005-0000-0000-0000870C0000}"/>
    <cellStyle name="Currency 5 3 2 2 2 10" xfId="8879" xr:uid="{E98C36F7-AA3E-4A30-A6C5-E5128F7BC0BC}"/>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B58F3D2E-0560-4AFE-9419-ABCF40DA542C}"/>
    <cellStyle name="Currency 5 3 2 2 2 2 2 3" xfId="11438" xr:uid="{A0E46FD0-BDFD-468A-B75A-CA532BD14F68}"/>
    <cellStyle name="Currency 5 3 2 2 2 2 3" xfId="5069" xr:uid="{00000000-0005-0000-0000-00008B0C0000}"/>
    <cellStyle name="Currency 5 3 2 2 2 2 3 2" xfId="13511" xr:uid="{19E45697-FC05-4590-BBB3-7DA449940814}"/>
    <cellStyle name="Currency 5 3 2 2 2 2 4" xfId="9293" xr:uid="{62F28BF1-70E6-4B06-92B1-6933AC09677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F04FB035-512B-413B-9AB4-DF6699717A6C}"/>
    <cellStyle name="Currency 5 3 2 2 2 3 2 3" xfId="11851" xr:uid="{4FAE2F51-1372-4F65-8BEB-F3D24EEC5B27}"/>
    <cellStyle name="Currency 5 3 2 2 2 3 3" xfId="5482" xr:uid="{00000000-0005-0000-0000-00008F0C0000}"/>
    <cellStyle name="Currency 5 3 2 2 2 3 3 2" xfId="13924" xr:uid="{11332C78-B923-4086-B62B-961797892BF5}"/>
    <cellStyle name="Currency 5 3 2 2 2 3 4" xfId="9706" xr:uid="{D802E278-B252-45BF-B468-28BB0D4D1877}"/>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0ACB844A-6F6C-4AB4-AF07-6A7D44DAF128}"/>
    <cellStyle name="Currency 5 3 2 2 2 4 2 3" xfId="12264" xr:uid="{3C409F7E-5B51-4119-A1A1-3A2BA9A7AB2E}"/>
    <cellStyle name="Currency 5 3 2 2 2 4 3" xfId="5895" xr:uid="{00000000-0005-0000-0000-0000930C0000}"/>
    <cellStyle name="Currency 5 3 2 2 2 4 3 2" xfId="14337" xr:uid="{5A82AD84-97BA-4B68-827C-63726BDD9F76}"/>
    <cellStyle name="Currency 5 3 2 2 2 4 4" xfId="10119" xr:uid="{404B5488-4BE0-4B4B-AA83-D4EC8834DE7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5E8DB697-D3B2-4C2C-8AAF-B2C03CAA6E7F}"/>
    <cellStyle name="Currency 5 3 2 2 2 5 2 3" xfId="12677" xr:uid="{6336C5FE-2B40-4BB4-808E-E129FF85ECC9}"/>
    <cellStyle name="Currency 5 3 2 2 2 5 3" xfId="6308" xr:uid="{00000000-0005-0000-0000-0000970C0000}"/>
    <cellStyle name="Currency 5 3 2 2 2 5 3 2" xfId="14750" xr:uid="{6F5DD2DA-827E-4BDA-B571-BFA1987457DA}"/>
    <cellStyle name="Currency 5 3 2 2 2 5 4" xfId="10532" xr:uid="{EEA87CA8-A9D9-4E9F-9047-C688BB3D00A2}"/>
    <cellStyle name="Currency 5 3 2 2 2 6" xfId="2436" xr:uid="{00000000-0005-0000-0000-0000980C0000}"/>
    <cellStyle name="Currency 5 3 2 2 2 6 2" xfId="6721" xr:uid="{00000000-0005-0000-0000-0000990C0000}"/>
    <cellStyle name="Currency 5 3 2 2 2 6 2 2" xfId="15163" xr:uid="{89CA2FE9-E99B-45BE-95FF-BF89DDB4F21B}"/>
    <cellStyle name="Currency 5 3 2 2 2 6 3" xfId="10945" xr:uid="{476C2BB5-1536-4BE4-BB37-72C3C53B08F9}"/>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285FD7DA-5917-4FE9-8E26-A2559C941F51}"/>
    <cellStyle name="Currency 5 3 2 2 2 8 3" xfId="11262" xr:uid="{62411CA2-ADBE-468C-865C-FD906A1D7D8D}"/>
    <cellStyle name="Currency 5 3 2 2 2 9" xfId="4655" xr:uid="{00000000-0005-0000-0000-00009D0C0000}"/>
    <cellStyle name="Currency 5 3 2 2 2 9 2" xfId="13097" xr:uid="{B70745C8-AFC9-4234-AC7B-381B7CD01A3A}"/>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FAB4DA88-DE6F-4F4B-9688-9BCA37692313}"/>
    <cellStyle name="Currency 5 3 2 2 3 2 3" xfId="11437" xr:uid="{8A0DC9A6-B598-4BF4-BB5F-A8FB36D8FC53}"/>
    <cellStyle name="Currency 5 3 2 2 3 3" xfId="5068" xr:uid="{00000000-0005-0000-0000-0000A10C0000}"/>
    <cellStyle name="Currency 5 3 2 2 3 3 2" xfId="13510" xr:uid="{167C56B7-63F1-4FE0-A72F-04FAFB3809DD}"/>
    <cellStyle name="Currency 5 3 2 2 3 4" xfId="9292" xr:uid="{3D8809A6-5665-4121-93FF-4E9ADED71D53}"/>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CE9ECE45-C3F5-4D39-B9F9-7EC10BE9F787}"/>
    <cellStyle name="Currency 5 3 2 2 4 2 3" xfId="11850" xr:uid="{78E72410-FBC7-4F60-B7D0-0D5B1B33EC5F}"/>
    <cellStyle name="Currency 5 3 2 2 4 3" xfId="5481" xr:uid="{00000000-0005-0000-0000-0000A50C0000}"/>
    <cellStyle name="Currency 5 3 2 2 4 3 2" xfId="13923" xr:uid="{530EE984-1FA0-4FA0-9288-44D52A001321}"/>
    <cellStyle name="Currency 5 3 2 2 4 4" xfId="9705" xr:uid="{71FA4689-664F-4867-B3C6-023DDB3F84A3}"/>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CFC9E13F-596E-4490-A1BC-4165A36F9939}"/>
    <cellStyle name="Currency 5 3 2 2 5 2 3" xfId="12263" xr:uid="{CEDC6799-0D73-44C1-9343-09549B00F49B}"/>
    <cellStyle name="Currency 5 3 2 2 5 3" xfId="5894" xr:uid="{00000000-0005-0000-0000-0000A90C0000}"/>
    <cellStyle name="Currency 5 3 2 2 5 3 2" xfId="14336" xr:uid="{FFE23971-053A-41E2-A66A-42240A214C83}"/>
    <cellStyle name="Currency 5 3 2 2 5 4" xfId="10118" xr:uid="{0B2628AB-FAA1-4D4D-84C6-D224D86F1FD5}"/>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B6F48B39-1DE1-48F5-8B3C-E87BD4EA4F1C}"/>
    <cellStyle name="Currency 5 3 2 2 6 2 3" xfId="12676" xr:uid="{CAD09450-A968-47E8-ABB2-90B2450F65BD}"/>
    <cellStyle name="Currency 5 3 2 2 6 3" xfId="6307" xr:uid="{00000000-0005-0000-0000-0000AD0C0000}"/>
    <cellStyle name="Currency 5 3 2 2 6 3 2" xfId="14749" xr:uid="{2288EC37-A039-40A6-9CB5-4B7B07E47B1B}"/>
    <cellStyle name="Currency 5 3 2 2 6 4" xfId="10531" xr:uid="{0ACA5453-E5BC-4468-8531-135AAE4F628B}"/>
    <cellStyle name="Currency 5 3 2 2 7" xfId="2435" xr:uid="{00000000-0005-0000-0000-0000AE0C0000}"/>
    <cellStyle name="Currency 5 3 2 2 7 2" xfId="6720" xr:uid="{00000000-0005-0000-0000-0000AF0C0000}"/>
    <cellStyle name="Currency 5 3 2 2 7 2 2" xfId="15162" xr:uid="{E8E4CCFC-5142-4B0E-8161-1948143B3011}"/>
    <cellStyle name="Currency 5 3 2 2 7 3" xfId="10944" xr:uid="{AB126A7A-1126-4BAA-9501-C3AD8BD6F4FC}"/>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694DC97B-0B1F-4255-B33F-5D16FFD1DF27}"/>
    <cellStyle name="Currency 5 3 2 2 9 3" xfId="11261" xr:uid="{9ABC11A9-6D54-48B0-A318-CF72BD1B1847}"/>
    <cellStyle name="Currency 5 3 2 3" xfId="213" xr:uid="{00000000-0005-0000-0000-0000B30C0000}"/>
    <cellStyle name="Currency 5 3 2 3 10" xfId="8880" xr:uid="{A1D2DAF5-3D15-4F79-8861-F07C8724AEE7}"/>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92EEF22F-C09F-4B72-A52A-036EB714910C}"/>
    <cellStyle name="Currency 5 3 2 3 2 2 3" xfId="11439" xr:uid="{60580CAD-9F27-4143-915B-89D6F713B0F1}"/>
    <cellStyle name="Currency 5 3 2 3 2 3" xfId="5070" xr:uid="{00000000-0005-0000-0000-0000B70C0000}"/>
    <cellStyle name="Currency 5 3 2 3 2 3 2" xfId="13512" xr:uid="{D88C0525-8434-4ABE-8A4B-0457836049B9}"/>
    <cellStyle name="Currency 5 3 2 3 2 4" xfId="9294" xr:uid="{ECA00690-4EE4-4C48-B717-E6127E1E1CD1}"/>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1A235B7B-24B3-4953-87C7-93112189A81F}"/>
    <cellStyle name="Currency 5 3 2 3 3 2 3" xfId="11852" xr:uid="{E937D7C2-F439-456E-9715-832B5C75690C}"/>
    <cellStyle name="Currency 5 3 2 3 3 3" xfId="5483" xr:uid="{00000000-0005-0000-0000-0000BB0C0000}"/>
    <cellStyle name="Currency 5 3 2 3 3 3 2" xfId="13925" xr:uid="{A55985F8-8427-477D-B4B6-33752E9D364F}"/>
    <cellStyle name="Currency 5 3 2 3 3 4" xfId="9707" xr:uid="{E3F9A58C-1F3B-44C9-9C9F-BE028871DD84}"/>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5A57BDAC-694C-446D-9D7F-15FFED3407FE}"/>
    <cellStyle name="Currency 5 3 2 3 4 2 3" xfId="12265" xr:uid="{1FC647B8-8967-4974-A453-1D460A006B0F}"/>
    <cellStyle name="Currency 5 3 2 3 4 3" xfId="5896" xr:uid="{00000000-0005-0000-0000-0000BF0C0000}"/>
    <cellStyle name="Currency 5 3 2 3 4 3 2" xfId="14338" xr:uid="{3580E03C-312C-415E-973B-AC4B323CC506}"/>
    <cellStyle name="Currency 5 3 2 3 4 4" xfId="10120" xr:uid="{5C4BCA6B-0980-45DC-B0AD-299CA68A4AF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09700977-9F73-4A49-A9A5-1814C34A03E2}"/>
    <cellStyle name="Currency 5 3 2 3 5 2 3" xfId="12678" xr:uid="{2161FA8D-3BB7-4F6C-A756-DF265C10AD03}"/>
    <cellStyle name="Currency 5 3 2 3 5 3" xfId="6309" xr:uid="{00000000-0005-0000-0000-0000C30C0000}"/>
    <cellStyle name="Currency 5 3 2 3 5 3 2" xfId="14751" xr:uid="{81FD7EDD-B557-434F-84B9-575D9C372857}"/>
    <cellStyle name="Currency 5 3 2 3 5 4" xfId="10533" xr:uid="{AE178BEF-E3F7-48E1-BEB3-915F9EF1EA90}"/>
    <cellStyle name="Currency 5 3 2 3 6" xfId="2437" xr:uid="{00000000-0005-0000-0000-0000C40C0000}"/>
    <cellStyle name="Currency 5 3 2 3 6 2" xfId="6722" xr:uid="{00000000-0005-0000-0000-0000C50C0000}"/>
    <cellStyle name="Currency 5 3 2 3 6 2 2" xfId="15164" xr:uid="{24BF2452-60E3-439A-B5F6-2FC1B90E921C}"/>
    <cellStyle name="Currency 5 3 2 3 6 3" xfId="10946" xr:uid="{F6C2DD82-7A6B-4DE3-8720-1FF49017B63E}"/>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8108D208-F992-4F3E-9B14-7AAEAE549E7A}"/>
    <cellStyle name="Currency 5 3 2 3 8 3" xfId="11263" xr:uid="{FB81B3F1-932C-4CB2-8B23-8BA159D1C4AB}"/>
    <cellStyle name="Currency 5 3 2 3 9" xfId="4656" xr:uid="{00000000-0005-0000-0000-0000C90C0000}"/>
    <cellStyle name="Currency 5 3 2 3 9 2" xfId="13098" xr:uid="{832963D1-24B1-44A0-842F-2BCC7DADA1EB}"/>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2ABF462D-EA2C-44A8-8866-978DB938C779}"/>
    <cellStyle name="Currency 5 3 2 4 2 3" xfId="11436" xr:uid="{3703AADD-624B-47B0-B6D7-271A95A13C10}"/>
    <cellStyle name="Currency 5 3 2 4 3" xfId="5067" xr:uid="{00000000-0005-0000-0000-0000CD0C0000}"/>
    <cellStyle name="Currency 5 3 2 4 3 2" xfId="13509" xr:uid="{AA2CB28B-E479-4CF9-B20D-D9ADB8535226}"/>
    <cellStyle name="Currency 5 3 2 4 4" xfId="9291" xr:uid="{2D67726D-584B-4ED1-888A-3CF3BC788B8C}"/>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D838A769-81B1-497C-BB63-316C8DD32BE3}"/>
    <cellStyle name="Currency 5 3 2 5 2 3" xfId="11849" xr:uid="{FC3818CC-B8A6-4F9F-8E2A-5AC8C729C82C}"/>
    <cellStyle name="Currency 5 3 2 5 3" xfId="5480" xr:uid="{00000000-0005-0000-0000-0000D10C0000}"/>
    <cellStyle name="Currency 5 3 2 5 3 2" xfId="13922" xr:uid="{D11CBF36-6B14-4D62-A682-A29E88955BF8}"/>
    <cellStyle name="Currency 5 3 2 5 4" xfId="9704" xr:uid="{5D766A55-CAD9-4B29-BA04-D19D6946BB55}"/>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4C2434AC-C8D4-4EF9-8103-FA248F3C9A52}"/>
    <cellStyle name="Currency 5 3 2 6 2 3" xfId="12262" xr:uid="{49019806-D761-4DE1-800F-FFE3CE94F125}"/>
    <cellStyle name="Currency 5 3 2 6 3" xfId="5893" xr:uid="{00000000-0005-0000-0000-0000D50C0000}"/>
    <cellStyle name="Currency 5 3 2 6 3 2" xfId="14335" xr:uid="{2793FBC0-CC6C-400C-A8B3-3A9331F0572B}"/>
    <cellStyle name="Currency 5 3 2 6 4" xfId="10117" xr:uid="{3DBBE9B7-E2FB-459A-A57A-1F56A246DE0E}"/>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873764C4-A0B3-4077-8432-6F5BF17CDAEE}"/>
    <cellStyle name="Currency 5 3 2 7 2 3" xfId="12675" xr:uid="{A2C59F3C-A786-4E43-B260-60577E18E0FB}"/>
    <cellStyle name="Currency 5 3 2 7 3" xfId="6306" xr:uid="{00000000-0005-0000-0000-0000D90C0000}"/>
    <cellStyle name="Currency 5 3 2 7 3 2" xfId="14748" xr:uid="{8A395E5D-EFE7-42BC-81CA-99A0CD61973A}"/>
    <cellStyle name="Currency 5 3 2 7 4" xfId="10530" xr:uid="{79455361-A19A-4C29-8F3B-58FA4C79197B}"/>
    <cellStyle name="Currency 5 3 2 8" xfId="2434" xr:uid="{00000000-0005-0000-0000-0000DA0C0000}"/>
    <cellStyle name="Currency 5 3 2 8 2" xfId="6719" xr:uid="{00000000-0005-0000-0000-0000DB0C0000}"/>
    <cellStyle name="Currency 5 3 2 8 2 2" xfId="15161" xr:uid="{C5778487-D5AA-4EF3-87B7-9FE74F4F1762}"/>
    <cellStyle name="Currency 5 3 2 8 3" xfId="10943" xr:uid="{F51ABF0D-842F-4DBD-B692-3E16DBB257BC}"/>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70DD251F-1740-4329-9B65-B1C8EDDE6D7D}"/>
    <cellStyle name="Currency 5 3 3 11" xfId="8881" xr:uid="{B6F4D30A-FF86-4F0D-9B6E-F803168ABD92}"/>
    <cellStyle name="Currency 5 3 3 2" xfId="215" xr:uid="{00000000-0005-0000-0000-0000DF0C0000}"/>
    <cellStyle name="Currency 5 3 3 2 10" xfId="8882" xr:uid="{EB6C277B-789F-4967-8ADE-CC9CD5E21D9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34D2A49D-4142-42C7-BC1D-8CA2F13AE11D}"/>
    <cellStyle name="Currency 5 3 3 2 2 2 3" xfId="11441" xr:uid="{D0E2E330-4AC1-4275-ADB0-F1DC0909F3CF}"/>
    <cellStyle name="Currency 5 3 3 2 2 3" xfId="5072" xr:uid="{00000000-0005-0000-0000-0000E30C0000}"/>
    <cellStyle name="Currency 5 3 3 2 2 3 2" xfId="13514" xr:uid="{7A5CF0D9-9A14-4A7A-B59A-77FBE2047498}"/>
    <cellStyle name="Currency 5 3 3 2 2 4" xfId="9296" xr:uid="{0A59118D-E2F1-455B-9744-48C9E7394755}"/>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7E9B0B82-A544-42A6-99A7-AEE16CA45316}"/>
    <cellStyle name="Currency 5 3 3 2 3 2 3" xfId="11854" xr:uid="{21B41899-2C52-4AC3-B45D-737741D79775}"/>
    <cellStyle name="Currency 5 3 3 2 3 3" xfId="5485" xr:uid="{00000000-0005-0000-0000-0000E70C0000}"/>
    <cellStyle name="Currency 5 3 3 2 3 3 2" xfId="13927" xr:uid="{0B3CBDF2-7959-493B-927E-854D7C814890}"/>
    <cellStyle name="Currency 5 3 3 2 3 4" xfId="9709" xr:uid="{FDA9C13E-DEAA-45EC-B36E-AF4D2B75D969}"/>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A7F3114B-71E7-46A2-B28D-9C2AE6934821}"/>
    <cellStyle name="Currency 5 3 3 2 4 2 3" xfId="12267" xr:uid="{D6048EFE-066A-4752-9BC0-A07C678A3310}"/>
    <cellStyle name="Currency 5 3 3 2 4 3" xfId="5898" xr:uid="{00000000-0005-0000-0000-0000EB0C0000}"/>
    <cellStyle name="Currency 5 3 3 2 4 3 2" xfId="14340" xr:uid="{27C33504-301F-4C59-A10C-4F35F8C263DC}"/>
    <cellStyle name="Currency 5 3 3 2 4 4" xfId="10122" xr:uid="{4A36C58F-B095-4809-8FB0-3F7B594FA2BB}"/>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71ADDF38-3480-43B8-B06D-818D708CD6FB}"/>
    <cellStyle name="Currency 5 3 3 2 5 2 3" xfId="12680" xr:uid="{7ECBBA1B-A942-4590-897E-65542D11A4E3}"/>
    <cellStyle name="Currency 5 3 3 2 5 3" xfId="6311" xr:uid="{00000000-0005-0000-0000-0000EF0C0000}"/>
    <cellStyle name="Currency 5 3 3 2 5 3 2" xfId="14753" xr:uid="{2101DF42-787D-43F9-906A-330BD275B7AB}"/>
    <cellStyle name="Currency 5 3 3 2 5 4" xfId="10535" xr:uid="{5BCA5E30-5DF0-49FD-85AE-E210833C7F44}"/>
    <cellStyle name="Currency 5 3 3 2 6" xfId="2439" xr:uid="{00000000-0005-0000-0000-0000F00C0000}"/>
    <cellStyle name="Currency 5 3 3 2 6 2" xfId="6724" xr:uid="{00000000-0005-0000-0000-0000F10C0000}"/>
    <cellStyle name="Currency 5 3 3 2 6 2 2" xfId="15166" xr:uid="{846F2B4C-E4B7-4470-9C42-2D7DEC27A641}"/>
    <cellStyle name="Currency 5 3 3 2 6 3" xfId="10948" xr:uid="{02AD0910-FE8D-420E-8517-F631E997E34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E255655F-3F14-4999-9DDF-A55B7F40D0EA}"/>
    <cellStyle name="Currency 5 3 3 2 8 3" xfId="11265" xr:uid="{783EA721-3A9E-45FA-A227-261AB2174398}"/>
    <cellStyle name="Currency 5 3 3 2 9" xfId="4658" xr:uid="{00000000-0005-0000-0000-0000F50C0000}"/>
    <cellStyle name="Currency 5 3 3 2 9 2" xfId="13100" xr:uid="{D9175E32-0B55-40B6-B1B1-1B15BEA593C2}"/>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37EB097E-7373-4958-BA31-9ED923EFD9F9}"/>
    <cellStyle name="Currency 5 3 3 3 2 3" xfId="11440" xr:uid="{90831922-85A4-4381-A8E6-555860074160}"/>
    <cellStyle name="Currency 5 3 3 3 3" xfId="5071" xr:uid="{00000000-0005-0000-0000-0000F90C0000}"/>
    <cellStyle name="Currency 5 3 3 3 3 2" xfId="13513" xr:uid="{9C56DDBF-FC7D-495E-8F54-10EC98B88805}"/>
    <cellStyle name="Currency 5 3 3 3 4" xfId="9295" xr:uid="{F8EF728D-A66E-4947-8E18-CD5B3E7A28B4}"/>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C43FE373-E3D2-43C1-B43E-761181006099}"/>
    <cellStyle name="Currency 5 3 3 4 2 3" xfId="11853" xr:uid="{6719F8B8-4895-432A-A1F6-F8FD923A4F7B}"/>
    <cellStyle name="Currency 5 3 3 4 3" xfId="5484" xr:uid="{00000000-0005-0000-0000-0000FD0C0000}"/>
    <cellStyle name="Currency 5 3 3 4 3 2" xfId="13926" xr:uid="{00FD3F81-0714-4854-BBDA-D384CA413CF8}"/>
    <cellStyle name="Currency 5 3 3 4 4" xfId="9708" xr:uid="{11011327-7C80-4308-8212-44A78023504D}"/>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900A801C-FD69-4067-A2AA-03C05F674095}"/>
    <cellStyle name="Currency 5 3 3 5 2 3" xfId="12266" xr:uid="{730DC3F5-F4A3-4149-8AC3-AE88ACFAAC15}"/>
    <cellStyle name="Currency 5 3 3 5 3" xfId="5897" xr:uid="{00000000-0005-0000-0000-0000010D0000}"/>
    <cellStyle name="Currency 5 3 3 5 3 2" xfId="14339" xr:uid="{F2BD9DEA-09E0-421B-82D7-EAD40116BCC8}"/>
    <cellStyle name="Currency 5 3 3 5 4" xfId="10121" xr:uid="{8A03AC82-BB10-40F2-8955-C4A942F4D1AA}"/>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265AC6B3-AAAF-4D2F-BB9A-B773F974713B}"/>
    <cellStyle name="Currency 5 3 3 6 2 3" xfId="12679" xr:uid="{30619050-310E-48B4-97CD-5A0335B6CCB0}"/>
    <cellStyle name="Currency 5 3 3 6 3" xfId="6310" xr:uid="{00000000-0005-0000-0000-0000050D0000}"/>
    <cellStyle name="Currency 5 3 3 6 3 2" xfId="14752" xr:uid="{0DE16809-205E-4FA7-A31A-B98E6B93F69D}"/>
    <cellStyle name="Currency 5 3 3 6 4" xfId="10534" xr:uid="{062A783B-0375-4F16-9678-8178B704CE10}"/>
    <cellStyle name="Currency 5 3 3 7" xfId="2438" xr:uid="{00000000-0005-0000-0000-0000060D0000}"/>
    <cellStyle name="Currency 5 3 3 7 2" xfId="6723" xr:uid="{00000000-0005-0000-0000-0000070D0000}"/>
    <cellStyle name="Currency 5 3 3 7 2 2" xfId="15165" xr:uid="{D4703434-0679-499F-A5A9-ACBD555F8186}"/>
    <cellStyle name="Currency 5 3 3 7 3" xfId="10947" xr:uid="{80935992-3336-437C-86B8-5F7AA762D040}"/>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92D5C2D6-DAD0-476D-A4F2-FA36CFE818EE}"/>
    <cellStyle name="Currency 5 3 3 9 3" xfId="11264" xr:uid="{BF5F2108-4BE6-4A20-9B1B-9E75CC7E24B3}"/>
    <cellStyle name="Currency 5 3 4" xfId="216" xr:uid="{00000000-0005-0000-0000-00000B0D0000}"/>
    <cellStyle name="Currency 5 3 4 10" xfId="8883" xr:uid="{8AB7B6C5-9B2E-4B19-BCCA-D12CB4C87549}"/>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91D4C4B1-45C8-4F83-8763-50335765ADC0}"/>
    <cellStyle name="Currency 5 3 4 2 2 3" xfId="11442" xr:uid="{410049E1-E5DA-48C1-B39B-CB0C2F42ADBB}"/>
    <cellStyle name="Currency 5 3 4 2 3" xfId="5073" xr:uid="{00000000-0005-0000-0000-00000F0D0000}"/>
    <cellStyle name="Currency 5 3 4 2 3 2" xfId="13515" xr:uid="{4E3ACF1D-B3FB-4255-827D-382021DC452E}"/>
    <cellStyle name="Currency 5 3 4 2 4" xfId="9297" xr:uid="{EEA9C05C-9700-4C9E-B34D-5E4C1ACA83D8}"/>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E7B11013-F6DB-4B14-AAC6-C65FA191672B}"/>
    <cellStyle name="Currency 5 3 4 3 2 3" xfId="11855" xr:uid="{38DE25C8-B5FD-438A-BA0F-E432451DDA59}"/>
    <cellStyle name="Currency 5 3 4 3 3" xfId="5486" xr:uid="{00000000-0005-0000-0000-0000130D0000}"/>
    <cellStyle name="Currency 5 3 4 3 3 2" xfId="13928" xr:uid="{932D3577-9227-485B-9239-EC34887D9D27}"/>
    <cellStyle name="Currency 5 3 4 3 4" xfId="9710" xr:uid="{E078BEC7-6017-416C-90E0-C41D5119300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0AA8F473-9EF0-4280-A32B-4681B6D01897}"/>
    <cellStyle name="Currency 5 3 4 4 2 3" xfId="12268" xr:uid="{397358B0-3213-43FF-B704-8FAE28C1F4DD}"/>
    <cellStyle name="Currency 5 3 4 4 3" xfId="5899" xr:uid="{00000000-0005-0000-0000-0000170D0000}"/>
    <cellStyle name="Currency 5 3 4 4 3 2" xfId="14341" xr:uid="{F1902FF5-BBFC-4A56-A888-FB8658B3EAC3}"/>
    <cellStyle name="Currency 5 3 4 4 4" xfId="10123" xr:uid="{50B5CC27-C1DC-48EE-AB46-B1F7270BEC44}"/>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CC845CFE-EC17-403F-A94D-35F6AA3DB415}"/>
    <cellStyle name="Currency 5 3 4 5 2 3" xfId="12681" xr:uid="{90454FED-0F0A-47CD-A907-5AA64AB33221}"/>
    <cellStyle name="Currency 5 3 4 5 3" xfId="6312" xr:uid="{00000000-0005-0000-0000-00001B0D0000}"/>
    <cellStyle name="Currency 5 3 4 5 3 2" xfId="14754" xr:uid="{D0F5F951-76EF-42FC-8CB1-FD0B7A5023E5}"/>
    <cellStyle name="Currency 5 3 4 5 4" xfId="10536" xr:uid="{C66B1E79-BAE7-45CB-B429-F4A53FE930BF}"/>
    <cellStyle name="Currency 5 3 4 6" xfId="2440" xr:uid="{00000000-0005-0000-0000-00001C0D0000}"/>
    <cellStyle name="Currency 5 3 4 6 2" xfId="6725" xr:uid="{00000000-0005-0000-0000-00001D0D0000}"/>
    <cellStyle name="Currency 5 3 4 6 2 2" xfId="15167" xr:uid="{6B48E554-2445-44A6-8BD0-C71D05B151E3}"/>
    <cellStyle name="Currency 5 3 4 6 3" xfId="10949" xr:uid="{95DF6AF4-01EC-424A-A7CC-D84666E59C00}"/>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A7EEA498-49C7-4773-A6CE-89A7578B5696}"/>
    <cellStyle name="Currency 5 3 4 8 3" xfId="11266" xr:uid="{85CDB4D8-30CB-49AB-BDD0-DFE6AD1DB786}"/>
    <cellStyle name="Currency 5 3 4 9" xfId="4659" xr:uid="{00000000-0005-0000-0000-0000210D0000}"/>
    <cellStyle name="Currency 5 3 4 9 2" xfId="13101" xr:uid="{008BBBD1-1E0B-4400-BE2B-E68722A0210E}"/>
    <cellStyle name="Currency 5 3 5" xfId="217" xr:uid="{00000000-0005-0000-0000-0000220D0000}"/>
    <cellStyle name="Currency 5 3 5 10" xfId="8884" xr:uid="{36824272-A698-45E5-B69D-A8906569F6C7}"/>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FB1ED7F5-AD62-4327-9CE8-04ECA61D65EB}"/>
    <cellStyle name="Currency 5 3 5 2 2 3" xfId="11443" xr:uid="{5644C608-2958-40F6-8691-5A633F8D3784}"/>
    <cellStyle name="Currency 5 3 5 2 3" xfId="5074" xr:uid="{00000000-0005-0000-0000-0000260D0000}"/>
    <cellStyle name="Currency 5 3 5 2 3 2" xfId="13516" xr:uid="{51A43BFE-6BB5-47F7-8013-B6F18392A7C2}"/>
    <cellStyle name="Currency 5 3 5 2 4" xfId="9298" xr:uid="{0A1FCF82-79A1-4480-BCB2-984029F0963E}"/>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E726AF38-C0AC-406D-973D-2D5EE416F7C0}"/>
    <cellStyle name="Currency 5 3 5 3 2 3" xfId="11856" xr:uid="{FDA6B254-DD51-4599-B755-AAD7D6212A61}"/>
    <cellStyle name="Currency 5 3 5 3 3" xfId="5487" xr:uid="{00000000-0005-0000-0000-00002A0D0000}"/>
    <cellStyle name="Currency 5 3 5 3 3 2" xfId="13929" xr:uid="{ADC01DD6-9F45-410A-A2F5-89A44AE0BB39}"/>
    <cellStyle name="Currency 5 3 5 3 4" xfId="9711" xr:uid="{CE7BB3CC-DF33-4FAD-B844-95E7D1BFAABF}"/>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FEADD17D-55EB-4E0D-B314-126AC23EF673}"/>
    <cellStyle name="Currency 5 3 5 4 2 3" xfId="12269" xr:uid="{C815EFAE-BBDA-4F0F-9567-929C13918E69}"/>
    <cellStyle name="Currency 5 3 5 4 3" xfId="5900" xr:uid="{00000000-0005-0000-0000-00002E0D0000}"/>
    <cellStyle name="Currency 5 3 5 4 3 2" xfId="14342" xr:uid="{F8623CF8-A876-48BC-A12F-BE51327A4ECB}"/>
    <cellStyle name="Currency 5 3 5 4 4" xfId="10124" xr:uid="{8581B838-576F-4864-B6E3-7459EFAF7A0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7F2F8029-043E-4C09-9029-95BCFEF12F44}"/>
    <cellStyle name="Currency 5 3 5 5 2 3" xfId="12682" xr:uid="{9D6C7F36-BA5E-4CC6-B02C-566476E75578}"/>
    <cellStyle name="Currency 5 3 5 5 3" xfId="6313" xr:uid="{00000000-0005-0000-0000-0000320D0000}"/>
    <cellStyle name="Currency 5 3 5 5 3 2" xfId="14755" xr:uid="{BB425EA5-4A8A-4571-8D8B-11F16989C1FC}"/>
    <cellStyle name="Currency 5 3 5 5 4" xfId="10537" xr:uid="{2D84B950-6593-4CD7-85CC-E6D56D801BB1}"/>
    <cellStyle name="Currency 5 3 5 6" xfId="2441" xr:uid="{00000000-0005-0000-0000-0000330D0000}"/>
    <cellStyle name="Currency 5 3 5 6 2" xfId="6726" xr:uid="{00000000-0005-0000-0000-0000340D0000}"/>
    <cellStyle name="Currency 5 3 5 6 2 2" xfId="15168" xr:uid="{10EA9E99-08E1-4B4A-98A2-3C1E6E945F26}"/>
    <cellStyle name="Currency 5 3 5 6 3" xfId="10950" xr:uid="{1FD4832D-C092-4391-A419-1CB7CB04FDAA}"/>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4720C4D8-0ACC-4BCE-80DA-0C96FC48183C}"/>
    <cellStyle name="Currency 5 3 5 8 3" xfId="11267" xr:uid="{0E4A68A7-670A-4633-90BB-01FB523507F4}"/>
    <cellStyle name="Currency 5 3 5 9" xfId="4660" xr:uid="{00000000-0005-0000-0000-0000380D0000}"/>
    <cellStyle name="Currency 5 3 5 9 2" xfId="13102" xr:uid="{BBB8DF61-4B98-480B-8BE0-BF64CA6F5693}"/>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6F16D249-3611-4AB6-8B48-79681C77DF75}"/>
    <cellStyle name="Currency 5 5 11" xfId="8885" xr:uid="{EDB49894-0D44-404E-B1CD-21E6D6CB9EA2}"/>
    <cellStyle name="Currency 5 5 2" xfId="220" xr:uid="{00000000-0005-0000-0000-00003D0D0000}"/>
    <cellStyle name="Currency 5 5 2 10" xfId="8886" xr:uid="{CAC2ADE3-A065-48F9-AA9E-674C7BE63E35}"/>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0F9866FA-E3F6-458A-869C-D71C788BF92C}"/>
    <cellStyle name="Currency 5 5 2 2 2 3" xfId="11445" xr:uid="{34838AF7-83D6-4652-B6A2-DD1FE3B7A23E}"/>
    <cellStyle name="Currency 5 5 2 2 3" xfId="5076" xr:uid="{00000000-0005-0000-0000-0000410D0000}"/>
    <cellStyle name="Currency 5 5 2 2 3 2" xfId="13518" xr:uid="{90254287-30F1-4437-93B0-7EFADDE36A27}"/>
    <cellStyle name="Currency 5 5 2 2 4" xfId="9300" xr:uid="{732FE50F-EDBC-487E-9729-35F7C16D0A6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C0846207-5F6E-4C85-8B6C-520EC3C76118}"/>
    <cellStyle name="Currency 5 5 2 3 2 3" xfId="11858" xr:uid="{4BEEB9A6-36F9-4BC8-8735-45D40F358ABB}"/>
    <cellStyle name="Currency 5 5 2 3 3" xfId="5489" xr:uid="{00000000-0005-0000-0000-0000450D0000}"/>
    <cellStyle name="Currency 5 5 2 3 3 2" xfId="13931" xr:uid="{3C86CEA8-285E-41F2-93D1-7DC9AE38111D}"/>
    <cellStyle name="Currency 5 5 2 3 4" xfId="9713" xr:uid="{77D5AD79-76AF-47FA-8F57-6BFA3A3BB639}"/>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918B116E-516F-4E31-BD55-51E37555230D}"/>
    <cellStyle name="Currency 5 5 2 4 2 3" xfId="12271" xr:uid="{30A092FB-5179-4A8F-BECA-9D2C56BBB1A7}"/>
    <cellStyle name="Currency 5 5 2 4 3" xfId="5902" xr:uid="{00000000-0005-0000-0000-0000490D0000}"/>
    <cellStyle name="Currency 5 5 2 4 3 2" xfId="14344" xr:uid="{D11C0C3F-7F8A-4AA3-95CE-B2BA7D539A6D}"/>
    <cellStyle name="Currency 5 5 2 4 4" xfId="10126" xr:uid="{9CF8982F-1BD5-422D-9981-56D5B5869508}"/>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35555445-008B-4365-A117-EE7097D563A1}"/>
    <cellStyle name="Currency 5 5 2 5 2 3" xfId="12684" xr:uid="{E790DE76-2FD3-462E-8B70-B0D8380FBF92}"/>
    <cellStyle name="Currency 5 5 2 5 3" xfId="6315" xr:uid="{00000000-0005-0000-0000-00004D0D0000}"/>
    <cellStyle name="Currency 5 5 2 5 3 2" xfId="14757" xr:uid="{8B3DC23F-BD4B-4D3F-AEEE-FEFD4F60DE3D}"/>
    <cellStyle name="Currency 5 5 2 5 4" xfId="10539" xr:uid="{E67930D5-26F5-41A0-A22B-1D4412E67019}"/>
    <cellStyle name="Currency 5 5 2 6" xfId="2443" xr:uid="{00000000-0005-0000-0000-00004E0D0000}"/>
    <cellStyle name="Currency 5 5 2 6 2" xfId="6728" xr:uid="{00000000-0005-0000-0000-00004F0D0000}"/>
    <cellStyle name="Currency 5 5 2 6 2 2" xfId="15170" xr:uid="{13B1ABB5-AA68-435D-A661-E81B31AD100C}"/>
    <cellStyle name="Currency 5 5 2 6 3" xfId="10952" xr:uid="{65BA33AF-FC8C-4505-94D6-21BA1C3EC618}"/>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2997FA1D-094F-415D-A722-853ACAB0A2FF}"/>
    <cellStyle name="Currency 5 5 2 8 3" xfId="11269" xr:uid="{3459B556-38B1-4B96-971F-558426DC9AAE}"/>
    <cellStyle name="Currency 5 5 2 9" xfId="4662" xr:uid="{00000000-0005-0000-0000-0000530D0000}"/>
    <cellStyle name="Currency 5 5 2 9 2" xfId="13104" xr:uid="{8FFECFCE-229A-4B43-AC99-2392B45EB4B7}"/>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5E50E0CC-3D4E-4A69-A858-7205520E82FE}"/>
    <cellStyle name="Currency 5 5 3 2 3" xfId="11444" xr:uid="{59332F47-2FE7-46D6-AE2A-E7928297ED5F}"/>
    <cellStyle name="Currency 5 5 3 3" xfId="5075" xr:uid="{00000000-0005-0000-0000-0000570D0000}"/>
    <cellStyle name="Currency 5 5 3 3 2" xfId="13517" xr:uid="{D36FAE78-1A00-41B9-97B1-A0500CCB0BE5}"/>
    <cellStyle name="Currency 5 5 3 4" xfId="9299" xr:uid="{58AE7127-EF55-44DD-9DB9-D966A9CAEDAF}"/>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B383F9E7-1A85-4B19-BC9B-33BC631C79CA}"/>
    <cellStyle name="Currency 5 5 4 2 3" xfId="11857" xr:uid="{6AE10D95-B5E5-46A6-8754-B1E42C61B2A8}"/>
    <cellStyle name="Currency 5 5 4 3" xfId="5488" xr:uid="{00000000-0005-0000-0000-00005B0D0000}"/>
    <cellStyle name="Currency 5 5 4 3 2" xfId="13930" xr:uid="{A04951F2-186C-4998-9500-3D98292E8288}"/>
    <cellStyle name="Currency 5 5 4 4" xfId="9712" xr:uid="{9342F1BA-C902-40DF-B9EF-18C2B300BC52}"/>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8F57A1EB-5160-4761-97F6-A86CF6036213}"/>
    <cellStyle name="Currency 5 5 5 2 3" xfId="12270" xr:uid="{628EDF11-F972-40E6-9A49-F397F603220C}"/>
    <cellStyle name="Currency 5 5 5 3" xfId="5901" xr:uid="{00000000-0005-0000-0000-00005F0D0000}"/>
    <cellStyle name="Currency 5 5 5 3 2" xfId="14343" xr:uid="{B367A981-9CE4-4270-9848-6EA79DC5C49C}"/>
    <cellStyle name="Currency 5 5 5 4" xfId="10125" xr:uid="{82810CEB-6B5B-4E59-BD7E-95CABE1EA6BF}"/>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B3064204-8F66-45B0-AF4D-E67A62E96FDC}"/>
    <cellStyle name="Currency 5 5 6 2 3" xfId="12683" xr:uid="{3266F727-4B08-4446-9B54-5A8D274C381C}"/>
    <cellStyle name="Currency 5 5 6 3" xfId="6314" xr:uid="{00000000-0005-0000-0000-0000630D0000}"/>
    <cellStyle name="Currency 5 5 6 3 2" xfId="14756" xr:uid="{0982587C-20D9-4DF0-8661-C745A0000F89}"/>
    <cellStyle name="Currency 5 5 6 4" xfId="10538" xr:uid="{46A6167A-374B-4C51-99D1-1FB64959D4C6}"/>
    <cellStyle name="Currency 5 5 7" xfId="2442" xr:uid="{00000000-0005-0000-0000-0000640D0000}"/>
    <cellStyle name="Currency 5 5 7 2" xfId="6727" xr:uid="{00000000-0005-0000-0000-0000650D0000}"/>
    <cellStyle name="Currency 5 5 7 2 2" xfId="15169" xr:uid="{C3BA200B-0843-4393-BDB6-D0438B3825A1}"/>
    <cellStyle name="Currency 5 5 7 3" xfId="10951" xr:uid="{1C176DC2-9280-458C-8AB3-0C3E908DFB7E}"/>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4C3F8F0-649C-4100-B662-A70F0FE93099}"/>
    <cellStyle name="Currency 5 5 9 3" xfId="11268" xr:uid="{D7EB84FA-3029-42D7-834B-DDE54A3BAF46}"/>
    <cellStyle name="Currency 5 6" xfId="221" xr:uid="{00000000-0005-0000-0000-0000690D0000}"/>
    <cellStyle name="Currency 5 6 10" xfId="8887" xr:uid="{AF73964E-22CC-4893-B6E4-D5BEC8F7FD52}"/>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B0F1418D-A957-45F2-B2AC-D1B02B6944EC}"/>
    <cellStyle name="Currency 5 6 2 2 3" xfId="11446" xr:uid="{6334F279-67AF-4380-A588-BCD81D184A1A}"/>
    <cellStyle name="Currency 5 6 2 3" xfId="5077" xr:uid="{00000000-0005-0000-0000-00006D0D0000}"/>
    <cellStyle name="Currency 5 6 2 3 2" xfId="13519" xr:uid="{D55174AA-7DF0-4AB4-B05D-CF8563A4D87D}"/>
    <cellStyle name="Currency 5 6 2 4" xfId="9301" xr:uid="{954110B1-3594-4F6A-AA3B-32F65465CB71}"/>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F75D9A36-BEBA-488C-84A1-B9FC69D410B0}"/>
    <cellStyle name="Currency 5 6 3 2 3" xfId="11859" xr:uid="{362E2B67-C858-4A98-B9D6-02BAE1E327C4}"/>
    <cellStyle name="Currency 5 6 3 3" xfId="5490" xr:uid="{00000000-0005-0000-0000-0000710D0000}"/>
    <cellStyle name="Currency 5 6 3 3 2" xfId="13932" xr:uid="{6845EAD6-EEAC-4668-8486-D6CA9AAA1D38}"/>
    <cellStyle name="Currency 5 6 3 4" xfId="9714" xr:uid="{4EBB0C28-EEF5-484F-B42A-E79E7F475638}"/>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851F84CE-33B5-4F21-9322-8EBE8CDD32DE}"/>
    <cellStyle name="Currency 5 6 4 2 3" xfId="12272" xr:uid="{18440603-EED4-41C0-86F7-156C3AF4EC75}"/>
    <cellStyle name="Currency 5 6 4 3" xfId="5903" xr:uid="{00000000-0005-0000-0000-0000750D0000}"/>
    <cellStyle name="Currency 5 6 4 3 2" xfId="14345" xr:uid="{58CA26CB-0965-4970-9919-EEDAB88EB042}"/>
    <cellStyle name="Currency 5 6 4 4" xfId="10127" xr:uid="{351BAB11-1CD6-498B-890C-B26E6F7728F8}"/>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7E67CDBF-B5E7-483B-B826-0C320B12527A}"/>
    <cellStyle name="Currency 5 6 5 2 3" xfId="12685" xr:uid="{9EAC26E1-D2A8-4B48-929E-16CF1ABEB725}"/>
    <cellStyle name="Currency 5 6 5 3" xfId="6316" xr:uid="{00000000-0005-0000-0000-0000790D0000}"/>
    <cellStyle name="Currency 5 6 5 3 2" xfId="14758" xr:uid="{620EA5CD-9018-4E3C-8223-BDAF6404F0AA}"/>
    <cellStyle name="Currency 5 6 5 4" xfId="10540" xr:uid="{3CF5302E-ADDE-4C28-A056-208F27C9FF20}"/>
    <cellStyle name="Currency 5 6 6" xfId="2444" xr:uid="{00000000-0005-0000-0000-00007A0D0000}"/>
    <cellStyle name="Currency 5 6 6 2" xfId="6729" xr:uid="{00000000-0005-0000-0000-00007B0D0000}"/>
    <cellStyle name="Currency 5 6 6 2 2" xfId="15171" xr:uid="{A2D115B4-F792-48E4-8636-690802DBF07E}"/>
    <cellStyle name="Currency 5 6 6 3" xfId="10953" xr:uid="{2243EF39-D3FB-4BA7-BBDA-8671759E307A}"/>
    <cellStyle name="Currency 5 6 7" xfId="2741" xr:uid="{00000000-0005-0000-0000-00007C0D0000}"/>
    <cellStyle name="Currency 5 6 8" xfId="2822" xr:uid="{00000000-0005-0000-0000-00007D0D0000}"/>
    <cellStyle name="Currency 5 6 8 2" xfId="7046" xr:uid="{00000000-0005-0000-0000-00007E0D0000}"/>
    <cellStyle name="Currency 5 6 8 2 2" xfId="15488" xr:uid="{2876DCA0-59B1-40A1-A564-10286FA513D9}"/>
    <cellStyle name="Currency 5 6 8 3" xfId="11270" xr:uid="{A903B117-08FB-4FB0-815C-A714AB35F4C4}"/>
    <cellStyle name="Currency 5 6 9" xfId="4663" xr:uid="{00000000-0005-0000-0000-00007F0D0000}"/>
    <cellStyle name="Currency 5 6 9 2" xfId="13105" xr:uid="{1798823E-4B9F-49BE-9282-1CCE14D624AC}"/>
    <cellStyle name="Currency 5 7" xfId="222" xr:uid="{00000000-0005-0000-0000-0000800D0000}"/>
    <cellStyle name="Currency 5 7 10" xfId="8888" xr:uid="{194BBFA4-6CF1-4ED1-A429-04B0AFDF25C4}"/>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3C36A8C5-1D7B-4B15-99D1-01535C28D3A9}"/>
    <cellStyle name="Currency 5 7 2 2 3" xfId="11447" xr:uid="{0CA81DA6-6DAB-40F1-9DFD-CFE59B337587}"/>
    <cellStyle name="Currency 5 7 2 3" xfId="5078" xr:uid="{00000000-0005-0000-0000-0000840D0000}"/>
    <cellStyle name="Currency 5 7 2 3 2" xfId="13520" xr:uid="{C665049C-8A5A-46AA-9204-35C0FC57EBA6}"/>
    <cellStyle name="Currency 5 7 2 4" xfId="9302" xr:uid="{35405B8B-850A-40A8-B0E7-13B7A1E3D972}"/>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1B5933C1-8F4A-4B33-A547-629C6CB679A8}"/>
    <cellStyle name="Currency 5 7 3 2 3" xfId="11860" xr:uid="{6140BD79-D2FC-4FAE-A360-0B658DC06320}"/>
    <cellStyle name="Currency 5 7 3 3" xfId="5491" xr:uid="{00000000-0005-0000-0000-0000880D0000}"/>
    <cellStyle name="Currency 5 7 3 3 2" xfId="13933" xr:uid="{B7F8972D-6038-4484-B006-65977CC02E06}"/>
    <cellStyle name="Currency 5 7 3 4" xfId="9715" xr:uid="{A8710AEE-6331-4766-B0C3-ECDAFF2D0475}"/>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38E48459-2F1F-4CA3-B457-DF8612582412}"/>
    <cellStyle name="Currency 5 7 4 2 3" xfId="12273" xr:uid="{5384C0D2-11B7-4FBE-A94A-1C17764D786C}"/>
    <cellStyle name="Currency 5 7 4 3" xfId="5904" xr:uid="{00000000-0005-0000-0000-00008C0D0000}"/>
    <cellStyle name="Currency 5 7 4 3 2" xfId="14346" xr:uid="{66B50289-C062-4A23-A4E4-62163FAFE95F}"/>
    <cellStyle name="Currency 5 7 4 4" xfId="10128" xr:uid="{A7EA227A-B6F5-4551-8AB9-E619C5F0242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D2B61E75-0668-4F8D-BFBF-DF2F63393627}"/>
    <cellStyle name="Currency 5 7 5 2 3" xfId="12686" xr:uid="{D2117FCE-8DB7-4292-AEB7-1088EEF3FAA8}"/>
    <cellStyle name="Currency 5 7 5 3" xfId="6317" xr:uid="{00000000-0005-0000-0000-0000900D0000}"/>
    <cellStyle name="Currency 5 7 5 3 2" xfId="14759" xr:uid="{C1FC3DFC-B736-4CCE-8025-27E7BD1F5604}"/>
    <cellStyle name="Currency 5 7 5 4" xfId="10541" xr:uid="{4FA521E5-6994-4388-802A-58470BD84092}"/>
    <cellStyle name="Currency 5 7 6" xfId="2445" xr:uid="{00000000-0005-0000-0000-0000910D0000}"/>
    <cellStyle name="Currency 5 7 6 2" xfId="6730" xr:uid="{00000000-0005-0000-0000-0000920D0000}"/>
    <cellStyle name="Currency 5 7 6 2 2" xfId="15172" xr:uid="{C9F7DD28-0B79-47C5-8E46-B66AFC1C2EE0}"/>
    <cellStyle name="Currency 5 7 6 3" xfId="10954" xr:uid="{A273B131-87C8-4C9E-8E4B-83BA6F575129}"/>
    <cellStyle name="Currency 5 7 7" xfId="2742" xr:uid="{00000000-0005-0000-0000-0000930D0000}"/>
    <cellStyle name="Currency 5 7 8" xfId="2823" xr:uid="{00000000-0005-0000-0000-0000940D0000}"/>
    <cellStyle name="Currency 5 7 8 2" xfId="7047" xr:uid="{00000000-0005-0000-0000-0000950D0000}"/>
    <cellStyle name="Currency 5 7 8 2 2" xfId="15489" xr:uid="{90B29494-7DCC-4073-BF93-1169ECA946FF}"/>
    <cellStyle name="Currency 5 7 8 3" xfId="11271" xr:uid="{A649F39F-F271-4E30-AE41-B8B738D08091}"/>
    <cellStyle name="Currency 5 7 9" xfId="4664" xr:uid="{00000000-0005-0000-0000-0000960D0000}"/>
    <cellStyle name="Currency 5 7 9 2" xfId="13106" xr:uid="{A7696612-7175-48BD-AA28-CA3F14519C02}"/>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A701525A-E165-4652-8B88-99F2BAEC369C}"/>
    <cellStyle name="Normal 12 10 3" xfId="10955" xr:uid="{1D78513E-3E80-47E2-97A8-68B1596A342D}"/>
    <cellStyle name="Normal 12 11" xfId="4665" xr:uid="{00000000-0005-0000-0000-0000CC0D0000}"/>
    <cellStyle name="Normal 12 11 2" xfId="13107" xr:uid="{54919BFC-8453-4AC9-8CDF-83024E7A2949}"/>
    <cellStyle name="Normal 12 12" xfId="8889" xr:uid="{10504C87-B49E-4A6B-BF1C-0D0C6369D59E}"/>
    <cellStyle name="Normal 12 2" xfId="260" xr:uid="{00000000-0005-0000-0000-0000CD0D0000}"/>
    <cellStyle name="Normal 12 2 10" xfId="8890" xr:uid="{3C68A59C-B18B-4A95-BCC1-E8BD16BA052E}"/>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A7C581D8-379A-40A4-9E6A-189C0FEB6100}"/>
    <cellStyle name="Normal 12 2 2 2 2 2 3" xfId="11451" xr:uid="{52DFE4AF-6D7D-45FC-92C1-BFC0B5783AD5}"/>
    <cellStyle name="Normal 12 2 2 2 2 3" xfId="5082" xr:uid="{00000000-0005-0000-0000-0000D30D0000}"/>
    <cellStyle name="Normal 12 2 2 2 2 3 2" xfId="13524" xr:uid="{88D7B5D3-E0D4-425A-8A8E-E861518CCE1C}"/>
    <cellStyle name="Normal 12 2 2 2 2 4" xfId="9306" xr:uid="{8235571C-843F-42AE-8D93-B8B87A9C9B3B}"/>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9B6B1EB-49EA-4D6F-A489-CE3052FFF939}"/>
    <cellStyle name="Normal 12 2 2 2 3 2 3" xfId="11864" xr:uid="{C0F68600-6053-4398-A116-7DB498863358}"/>
    <cellStyle name="Normal 12 2 2 2 3 3" xfId="5495" xr:uid="{00000000-0005-0000-0000-0000D70D0000}"/>
    <cellStyle name="Normal 12 2 2 2 3 3 2" xfId="13937" xr:uid="{5FAC6F8C-1E59-4B5A-AFDF-0A3603D636FF}"/>
    <cellStyle name="Normal 12 2 2 2 3 4" xfId="9719" xr:uid="{C4E87E19-969A-4A36-BC84-263ABDF42EB1}"/>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1EED2B99-7FBD-4F48-81AB-D4D52249045C}"/>
    <cellStyle name="Normal 12 2 2 2 4 2 3" xfId="12277" xr:uid="{BB286B20-B781-412E-8163-9315571D3D1A}"/>
    <cellStyle name="Normal 12 2 2 2 4 3" xfId="5908" xr:uid="{00000000-0005-0000-0000-0000DB0D0000}"/>
    <cellStyle name="Normal 12 2 2 2 4 3 2" xfId="14350" xr:uid="{ECB03ADD-E1F7-439C-AB16-258E7456E1D2}"/>
    <cellStyle name="Normal 12 2 2 2 4 4" xfId="10132" xr:uid="{E7118EF0-1DAA-4341-94AD-12DD102CC0E7}"/>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98F9500A-094F-46B8-9922-1DC87F339367}"/>
    <cellStyle name="Normal 12 2 2 2 5 2 3" xfId="12690" xr:uid="{18490FC8-8E40-4916-9E78-FC563EAD0B14}"/>
    <cellStyle name="Normal 12 2 2 2 5 3" xfId="6321" xr:uid="{00000000-0005-0000-0000-0000DF0D0000}"/>
    <cellStyle name="Normal 12 2 2 2 5 3 2" xfId="14763" xr:uid="{93D63A1E-5DEA-498A-82AB-B1CEB99B7BFE}"/>
    <cellStyle name="Normal 12 2 2 2 5 4" xfId="10545" xr:uid="{A68194A6-718F-40D1-90D1-6345F7AA7D3D}"/>
    <cellStyle name="Normal 12 2 2 2 6" xfId="2450" xr:uid="{00000000-0005-0000-0000-0000E00D0000}"/>
    <cellStyle name="Normal 12 2 2 2 6 2" xfId="6734" xr:uid="{00000000-0005-0000-0000-0000E10D0000}"/>
    <cellStyle name="Normal 12 2 2 2 6 2 2" xfId="15176" xr:uid="{F9220866-41A3-4E22-A6FD-42C43F9CB172}"/>
    <cellStyle name="Normal 12 2 2 2 6 3" xfId="10958" xr:uid="{A9C93CC1-FBFA-4F4D-9EDC-37A3D037F1FE}"/>
    <cellStyle name="Normal 12 2 2 2 7" xfId="4668" xr:uid="{00000000-0005-0000-0000-0000E20D0000}"/>
    <cellStyle name="Normal 12 2 2 2 7 2" xfId="13110" xr:uid="{8563B9F7-0DC8-4F94-8EE7-C856440457B9}"/>
    <cellStyle name="Normal 12 2 2 2 8" xfId="8892" xr:uid="{BEEA51B2-84A3-4F0B-8254-230864CE3CA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73DFA15B-E5BC-4641-A7C7-A689FCC91B6C}"/>
    <cellStyle name="Normal 12 2 2 3 2 3" xfId="11450" xr:uid="{5DD65721-2B89-449B-B2CE-3B34983408F6}"/>
    <cellStyle name="Normal 12 2 2 3 3" xfId="5081" xr:uid="{00000000-0005-0000-0000-0000E60D0000}"/>
    <cellStyle name="Normal 12 2 2 3 3 2" xfId="13523" xr:uid="{078A9B01-6CFF-40AE-B756-212B0730F542}"/>
    <cellStyle name="Normal 12 2 2 3 4" xfId="9305" xr:uid="{8A316C05-70DA-444A-A03C-EB987C4BE03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FCF08901-827B-4607-AF15-D894EEBC9A25}"/>
    <cellStyle name="Normal 12 2 2 4 2 3" xfId="11863" xr:uid="{DA41C873-479A-4E81-9C71-EE43E592C865}"/>
    <cellStyle name="Normal 12 2 2 4 3" xfId="5494" xr:uid="{00000000-0005-0000-0000-0000EA0D0000}"/>
    <cellStyle name="Normal 12 2 2 4 3 2" xfId="13936" xr:uid="{9050CB7B-D723-4DF4-90DF-5583E03188C6}"/>
    <cellStyle name="Normal 12 2 2 4 4" xfId="9718" xr:uid="{3E30B77B-493B-49CC-BC7A-A4BB82D8810F}"/>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4BED995-1683-46B5-B6F2-BAFF543964A4}"/>
    <cellStyle name="Normal 12 2 2 5 2 3" xfId="12276" xr:uid="{DCC780E6-DEE5-4628-8395-4C8DCABBE45B}"/>
    <cellStyle name="Normal 12 2 2 5 3" xfId="5907" xr:uid="{00000000-0005-0000-0000-0000EE0D0000}"/>
    <cellStyle name="Normal 12 2 2 5 3 2" xfId="14349" xr:uid="{0E2ACB22-2564-43D8-9DCB-CC66F0EDC82C}"/>
    <cellStyle name="Normal 12 2 2 5 4" xfId="10131" xr:uid="{2EED1054-0572-414E-8A81-DBDD4D7C36D4}"/>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0C4FCD66-837E-49F9-BC80-5ACB770E8A60}"/>
    <cellStyle name="Normal 12 2 2 6 2 3" xfId="12689" xr:uid="{E1143A8E-CCD9-4F56-82F3-CE9A96BF7EB5}"/>
    <cellStyle name="Normal 12 2 2 6 3" xfId="6320" xr:uid="{00000000-0005-0000-0000-0000F20D0000}"/>
    <cellStyle name="Normal 12 2 2 6 3 2" xfId="14762" xr:uid="{6CF3378E-96C8-471A-9E12-4240A8E969B1}"/>
    <cellStyle name="Normal 12 2 2 6 4" xfId="10544" xr:uid="{D812B5A9-E375-46F8-8CFB-783C4B2494BF}"/>
    <cellStyle name="Normal 12 2 2 7" xfId="2449" xr:uid="{00000000-0005-0000-0000-0000F30D0000}"/>
    <cellStyle name="Normal 12 2 2 7 2" xfId="6733" xr:uid="{00000000-0005-0000-0000-0000F40D0000}"/>
    <cellStyle name="Normal 12 2 2 7 2 2" xfId="15175" xr:uid="{15392EB8-741E-4D05-B74B-8B02F9B8E741}"/>
    <cellStyle name="Normal 12 2 2 7 3" xfId="10957" xr:uid="{F279D377-5185-421B-9DD4-8BCB4273F7CA}"/>
    <cellStyle name="Normal 12 2 2 8" xfId="4667" xr:uid="{00000000-0005-0000-0000-0000F50D0000}"/>
    <cellStyle name="Normal 12 2 2 8 2" xfId="13109" xr:uid="{35FFA473-40CC-4CD3-8D93-ED8C46461233}"/>
    <cellStyle name="Normal 12 2 2 9" xfId="8891" xr:uid="{457BDF92-915C-4ABF-A56E-31C16B4BB55B}"/>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EBCF2164-5C86-4777-B7EA-CBAE149837D6}"/>
    <cellStyle name="Normal 12 2 3 2 2 3" xfId="11452" xr:uid="{C3486388-EE5B-483A-9637-E51879E83B8D}"/>
    <cellStyle name="Normal 12 2 3 2 3" xfId="5083" xr:uid="{00000000-0005-0000-0000-0000FA0D0000}"/>
    <cellStyle name="Normal 12 2 3 2 3 2" xfId="13525" xr:uid="{638863B7-D05D-4AF8-A131-602196FCF912}"/>
    <cellStyle name="Normal 12 2 3 2 4" xfId="9307" xr:uid="{71F94FBD-6037-48A6-B69C-5B1419E08AF9}"/>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74A4A050-F715-4F7F-B07E-2E596ECA095F}"/>
    <cellStyle name="Normal 12 2 3 3 2 3" xfId="11865" xr:uid="{2E0552A1-239A-418E-B83A-3310086A957D}"/>
    <cellStyle name="Normal 12 2 3 3 3" xfId="5496" xr:uid="{00000000-0005-0000-0000-0000FE0D0000}"/>
    <cellStyle name="Normal 12 2 3 3 3 2" xfId="13938" xr:uid="{726206F7-87F6-4338-9F9E-7C6FF50C08BE}"/>
    <cellStyle name="Normal 12 2 3 3 4" xfId="9720" xr:uid="{E181CBEC-C909-40F7-A1B5-8F2E9EBE4FB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6807F428-C6DE-45F6-9B55-27985FDB9071}"/>
    <cellStyle name="Normal 12 2 3 4 2 3" xfId="12278" xr:uid="{AFA2B5A5-A343-4F83-83A1-F401CA7DEB73}"/>
    <cellStyle name="Normal 12 2 3 4 3" xfId="5909" xr:uid="{00000000-0005-0000-0000-0000020E0000}"/>
    <cellStyle name="Normal 12 2 3 4 3 2" xfId="14351" xr:uid="{42CEB512-9BC4-4E1B-9B27-5F2C9A89084C}"/>
    <cellStyle name="Normal 12 2 3 4 4" xfId="10133" xr:uid="{6214AFA1-014E-4BFE-9BCB-F37C8E70D3F6}"/>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4B32005A-00BB-495B-A637-610551634CEA}"/>
    <cellStyle name="Normal 12 2 3 5 2 3" xfId="12691" xr:uid="{97197E09-E622-4ECE-AC5F-64AE87ADB314}"/>
    <cellStyle name="Normal 12 2 3 5 3" xfId="6322" xr:uid="{00000000-0005-0000-0000-0000060E0000}"/>
    <cellStyle name="Normal 12 2 3 5 3 2" xfId="14764" xr:uid="{56200D1A-8E0D-492A-AC9A-7F0F07C3185D}"/>
    <cellStyle name="Normal 12 2 3 5 4" xfId="10546" xr:uid="{25266694-A84F-4EA8-96EE-EF1C41A5C10E}"/>
    <cellStyle name="Normal 12 2 3 6" xfId="2451" xr:uid="{00000000-0005-0000-0000-0000070E0000}"/>
    <cellStyle name="Normal 12 2 3 6 2" xfId="6735" xr:uid="{00000000-0005-0000-0000-0000080E0000}"/>
    <cellStyle name="Normal 12 2 3 6 2 2" xfId="15177" xr:uid="{15FE9734-C797-406B-B0C0-3438CB41E989}"/>
    <cellStyle name="Normal 12 2 3 6 3" xfId="10959" xr:uid="{CCC9FA7B-574B-42E8-AFB4-61816B0AE351}"/>
    <cellStyle name="Normal 12 2 3 7" xfId="4669" xr:uid="{00000000-0005-0000-0000-0000090E0000}"/>
    <cellStyle name="Normal 12 2 3 7 2" xfId="13111" xr:uid="{40CCBC40-52B2-47D5-A773-813A90A099CA}"/>
    <cellStyle name="Normal 12 2 3 8" xfId="8893" xr:uid="{58C54E59-E854-4780-A270-EDFF2C6BB4ED}"/>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50869EC5-7463-4546-A4C2-7B34940FE76C}"/>
    <cellStyle name="Normal 12 2 4 2 3" xfId="11449" xr:uid="{CDEF3821-0F68-47C1-A72C-533F3EF832CA}"/>
    <cellStyle name="Normal 12 2 4 3" xfId="5080" xr:uid="{00000000-0005-0000-0000-00000D0E0000}"/>
    <cellStyle name="Normal 12 2 4 3 2" xfId="13522" xr:uid="{FCD88853-F2B2-4E4E-88D2-6FE996CD5FD3}"/>
    <cellStyle name="Normal 12 2 4 4" xfId="9304" xr:uid="{F68A0C76-9FA6-47F2-8C45-F085A96637D2}"/>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05051BEF-7C4A-4E54-A575-9AA8CA139461}"/>
    <cellStyle name="Normal 12 2 5 2 3" xfId="11862" xr:uid="{2E3BA805-D2F3-44BB-9357-D92E6070F1E8}"/>
    <cellStyle name="Normal 12 2 5 3" xfId="5493" xr:uid="{00000000-0005-0000-0000-0000110E0000}"/>
    <cellStyle name="Normal 12 2 5 3 2" xfId="13935" xr:uid="{23B7F23A-6B94-47BC-B97C-B7217A1801C9}"/>
    <cellStyle name="Normal 12 2 5 4" xfId="9717" xr:uid="{8FEE24C3-454C-4C1E-BE31-15D3BFE8475D}"/>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EA4F92E0-8714-4504-963D-2547AC2959E7}"/>
    <cellStyle name="Normal 12 2 6 2 3" xfId="12275" xr:uid="{774B1165-83E9-43E9-B0A3-30615DDB448D}"/>
    <cellStyle name="Normal 12 2 6 3" xfId="5906" xr:uid="{00000000-0005-0000-0000-0000150E0000}"/>
    <cellStyle name="Normal 12 2 6 3 2" xfId="14348" xr:uid="{8F3A2868-86E1-4A83-83D6-641EAAF42477}"/>
    <cellStyle name="Normal 12 2 6 4" xfId="10130" xr:uid="{1A500248-1552-4DC2-BA2B-4146632E57E1}"/>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D1DAEF88-3EB8-4F47-A7F0-B1DA309EEB45}"/>
    <cellStyle name="Normal 12 2 7 2 3" xfId="12688" xr:uid="{DE0C94F3-E4DA-4D7D-8764-4C4DC3AE3D64}"/>
    <cellStyle name="Normal 12 2 7 3" xfId="6319" xr:uid="{00000000-0005-0000-0000-0000190E0000}"/>
    <cellStyle name="Normal 12 2 7 3 2" xfId="14761" xr:uid="{AADA55E5-8EEE-42B9-928D-77315C6CCE1A}"/>
    <cellStyle name="Normal 12 2 7 4" xfId="10543" xr:uid="{30D1621D-15C8-4044-9073-FF5C5C49D7BE}"/>
    <cellStyle name="Normal 12 2 8" xfId="2448" xr:uid="{00000000-0005-0000-0000-00001A0E0000}"/>
    <cellStyle name="Normal 12 2 8 2" xfId="6732" xr:uid="{00000000-0005-0000-0000-00001B0E0000}"/>
    <cellStyle name="Normal 12 2 8 2 2" xfId="15174" xr:uid="{7132EB3D-5343-4C21-9BFF-CBBBB10E2924}"/>
    <cellStyle name="Normal 12 2 8 3" xfId="10956" xr:uid="{69D28AF8-D545-43A3-82AE-266D830AEBBF}"/>
    <cellStyle name="Normal 12 2 9" xfId="4666" xr:uid="{00000000-0005-0000-0000-00001C0E0000}"/>
    <cellStyle name="Normal 12 2 9 2" xfId="13108" xr:uid="{C4F012B0-FF4E-4AA3-A596-9C8E3DF7784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3E10EB72-ED0D-4362-8104-FF09BA1DE92E}"/>
    <cellStyle name="Normal 12 3 2 2 2 3" xfId="11454" xr:uid="{8AF84854-5950-41F4-81AB-273C3967994C}"/>
    <cellStyle name="Normal 12 3 2 2 3" xfId="5085" xr:uid="{00000000-0005-0000-0000-0000220E0000}"/>
    <cellStyle name="Normal 12 3 2 2 3 2" xfId="13527" xr:uid="{1B209B67-05A6-4E1F-A002-5A788F6B4234}"/>
    <cellStyle name="Normal 12 3 2 2 4" xfId="9309" xr:uid="{21743C94-A7AF-416C-BA59-9635089E3DD5}"/>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BCC27449-AD7E-441D-A65F-13BD387ECF77}"/>
    <cellStyle name="Normal 12 3 2 3 2 3" xfId="11867" xr:uid="{194FEB71-3D20-4613-BB07-6FEA3A1BE473}"/>
    <cellStyle name="Normal 12 3 2 3 3" xfId="5498" xr:uid="{00000000-0005-0000-0000-0000260E0000}"/>
    <cellStyle name="Normal 12 3 2 3 3 2" xfId="13940" xr:uid="{499B53F5-0AEE-4A79-AB4D-DDC009F571C3}"/>
    <cellStyle name="Normal 12 3 2 3 4" xfId="9722" xr:uid="{EFFF9490-0B9F-4A96-A82F-39CB4A76E6AC}"/>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7E5E5890-F805-4659-B5DC-012DA4FFEAD1}"/>
    <cellStyle name="Normal 12 3 2 4 2 3" xfId="12280" xr:uid="{403DDA56-3922-4C1B-B5F7-D98908F6A83A}"/>
    <cellStyle name="Normal 12 3 2 4 3" xfId="5911" xr:uid="{00000000-0005-0000-0000-00002A0E0000}"/>
    <cellStyle name="Normal 12 3 2 4 3 2" xfId="14353" xr:uid="{7A5BF1DD-B0FE-49C4-AA39-52381C21586E}"/>
    <cellStyle name="Normal 12 3 2 4 4" xfId="10135" xr:uid="{31041D5B-F6E8-411D-9056-D0D7EB065BE4}"/>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BB4EAD8D-5A03-433C-AE73-B886CB436F57}"/>
    <cellStyle name="Normal 12 3 2 5 2 3" xfId="12693" xr:uid="{CECF5C49-C9F0-46B2-9443-E2C34F221DA8}"/>
    <cellStyle name="Normal 12 3 2 5 3" xfId="6324" xr:uid="{00000000-0005-0000-0000-00002E0E0000}"/>
    <cellStyle name="Normal 12 3 2 5 3 2" xfId="14766" xr:uid="{ED04BCD7-D462-441C-9D6F-E3410237D912}"/>
    <cellStyle name="Normal 12 3 2 5 4" xfId="10548" xr:uid="{6FAD6654-3358-47C8-9F8B-2BF40629C977}"/>
    <cellStyle name="Normal 12 3 2 6" xfId="2453" xr:uid="{00000000-0005-0000-0000-00002F0E0000}"/>
    <cellStyle name="Normal 12 3 2 6 2" xfId="6737" xr:uid="{00000000-0005-0000-0000-0000300E0000}"/>
    <cellStyle name="Normal 12 3 2 6 2 2" xfId="15179" xr:uid="{B9C67508-C9D2-478E-A770-AF543F61DED5}"/>
    <cellStyle name="Normal 12 3 2 6 3" xfId="10961" xr:uid="{092A98B6-FE1D-4EAF-9176-A5930038B4B2}"/>
    <cellStyle name="Normal 12 3 2 7" xfId="4671" xr:uid="{00000000-0005-0000-0000-0000310E0000}"/>
    <cellStyle name="Normal 12 3 2 7 2" xfId="13113" xr:uid="{EC8B8D99-184B-48FE-BA4F-1433226E2BC0}"/>
    <cellStyle name="Normal 12 3 2 8" xfId="8895" xr:uid="{84F2EB53-52EF-402F-94B9-71E07EFDEDEC}"/>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65545612-2185-4B50-A85C-630488E0A71C}"/>
    <cellStyle name="Normal 12 3 3 2 3" xfId="11453" xr:uid="{53595C6C-8349-4A8B-9AB9-0221788119D9}"/>
    <cellStyle name="Normal 12 3 3 3" xfId="5084" xr:uid="{00000000-0005-0000-0000-0000350E0000}"/>
    <cellStyle name="Normal 12 3 3 3 2" xfId="13526" xr:uid="{3B651A3D-BB0F-4E5A-B83B-5F009527CA02}"/>
    <cellStyle name="Normal 12 3 3 4" xfId="9308" xr:uid="{8C3F9DE9-336F-42E2-A7A3-B577FFB20917}"/>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FD06FF87-D29E-43BA-8D23-A14494009CBC}"/>
    <cellStyle name="Normal 12 3 4 2 3" xfId="11866" xr:uid="{0A0AF628-9FDB-4844-9820-CAE4D774ABB2}"/>
    <cellStyle name="Normal 12 3 4 3" xfId="5497" xr:uid="{00000000-0005-0000-0000-0000390E0000}"/>
    <cellStyle name="Normal 12 3 4 3 2" xfId="13939" xr:uid="{6ECF69C8-A87E-422D-B7F8-53CD719DBAE0}"/>
    <cellStyle name="Normal 12 3 4 4" xfId="9721" xr:uid="{C17E192B-D7B6-42A7-BE57-EB6770AAF68B}"/>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7BB2D8B7-8FDB-4847-B2C2-D10593FD610C}"/>
    <cellStyle name="Normal 12 3 5 2 3" xfId="12279" xr:uid="{2762B09D-8AED-4717-9E5F-E8CE79EB8ABB}"/>
    <cellStyle name="Normal 12 3 5 3" xfId="5910" xr:uid="{00000000-0005-0000-0000-00003D0E0000}"/>
    <cellStyle name="Normal 12 3 5 3 2" xfId="14352" xr:uid="{65A5F098-A736-4149-8720-C8F211BA8FA9}"/>
    <cellStyle name="Normal 12 3 5 4" xfId="10134" xr:uid="{E774E900-B9D2-4DB7-9A9B-93FF60D2DEAA}"/>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0DE14CEF-969F-4535-95C1-3A319A6D550F}"/>
    <cellStyle name="Normal 12 3 6 2 3" xfId="12692" xr:uid="{7E90305B-F92C-4C06-8563-228F588B9924}"/>
    <cellStyle name="Normal 12 3 6 3" xfId="6323" xr:uid="{00000000-0005-0000-0000-0000410E0000}"/>
    <cellStyle name="Normal 12 3 6 3 2" xfId="14765" xr:uid="{9CE31B7F-52F3-4A5C-B49B-32EBD642CB08}"/>
    <cellStyle name="Normal 12 3 6 4" xfId="10547" xr:uid="{71010F3B-D0EB-477D-832A-FDF233AA5BE8}"/>
    <cellStyle name="Normal 12 3 7" xfId="2452" xr:uid="{00000000-0005-0000-0000-0000420E0000}"/>
    <cellStyle name="Normal 12 3 7 2" xfId="6736" xr:uid="{00000000-0005-0000-0000-0000430E0000}"/>
    <cellStyle name="Normal 12 3 7 2 2" xfId="15178" xr:uid="{E75A7E39-E6E1-4620-A019-3067652A570A}"/>
    <cellStyle name="Normal 12 3 7 3" xfId="10960" xr:uid="{305F14DD-D959-435C-9176-D83368818AD1}"/>
    <cellStyle name="Normal 12 3 8" xfId="4670" xr:uid="{00000000-0005-0000-0000-0000440E0000}"/>
    <cellStyle name="Normal 12 3 8 2" xfId="13112" xr:uid="{74D73B93-F9EA-4248-BAAA-36951B1F78DA}"/>
    <cellStyle name="Normal 12 3 9" xfId="8894" xr:uid="{47262A03-BF7E-46D7-A8A8-46E3EA99014E}"/>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E89E46A5-82D8-4C4D-A1E9-73C38A533E24}"/>
    <cellStyle name="Normal 12 4 2 2 3" xfId="11455" xr:uid="{A9EC86EF-C219-4498-B01B-217F21910CE2}"/>
    <cellStyle name="Normal 12 4 2 3" xfId="5086" xr:uid="{00000000-0005-0000-0000-0000490E0000}"/>
    <cellStyle name="Normal 12 4 2 3 2" xfId="13528" xr:uid="{A8A26DEF-81A3-41DA-BAFC-9DF409D69E74}"/>
    <cellStyle name="Normal 12 4 2 4" xfId="9310" xr:uid="{AAC7DA63-48A1-4A07-8230-22F2E5D0AB4E}"/>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0A6E6261-877E-4AF3-AA6B-54F1323C0AB1}"/>
    <cellStyle name="Normal 12 4 3 2 3" xfId="11868" xr:uid="{0A383F19-70C5-4D79-9D1C-31252FFA97EC}"/>
    <cellStyle name="Normal 12 4 3 3" xfId="5499" xr:uid="{00000000-0005-0000-0000-00004D0E0000}"/>
    <cellStyle name="Normal 12 4 3 3 2" xfId="13941" xr:uid="{05107578-9AD5-418B-8109-527EF205A1D3}"/>
    <cellStyle name="Normal 12 4 3 4" xfId="9723" xr:uid="{57472BD2-9609-4106-9F3D-7E3CD7F8237A}"/>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2BA42F9E-F9B6-48CA-BCA7-974D53B9799B}"/>
    <cellStyle name="Normal 12 4 4 2 3" xfId="12281" xr:uid="{9B379410-7341-408E-A8FE-F2130A51F1DD}"/>
    <cellStyle name="Normal 12 4 4 3" xfId="5912" xr:uid="{00000000-0005-0000-0000-0000510E0000}"/>
    <cellStyle name="Normal 12 4 4 3 2" xfId="14354" xr:uid="{E2217A2B-8CC3-4819-91BC-614591A9E9BB}"/>
    <cellStyle name="Normal 12 4 4 4" xfId="10136" xr:uid="{AE26235C-03D6-4279-8148-1458C861A62F}"/>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9D081205-E176-4984-A807-C0E9D368BBF8}"/>
    <cellStyle name="Normal 12 4 5 2 3" xfId="12694" xr:uid="{57701113-927C-4E4A-809E-A844A8D88C11}"/>
    <cellStyle name="Normal 12 4 5 3" xfId="6325" xr:uid="{00000000-0005-0000-0000-0000550E0000}"/>
    <cellStyle name="Normal 12 4 5 3 2" xfId="14767" xr:uid="{D97A4B35-172D-4256-AA3E-8B2E40712306}"/>
    <cellStyle name="Normal 12 4 5 4" xfId="10549" xr:uid="{55484198-4CFB-4A14-B03D-73F809E48B27}"/>
    <cellStyle name="Normal 12 4 6" xfId="2454" xr:uid="{00000000-0005-0000-0000-0000560E0000}"/>
    <cellStyle name="Normal 12 4 6 2" xfId="6738" xr:uid="{00000000-0005-0000-0000-0000570E0000}"/>
    <cellStyle name="Normal 12 4 6 2 2" xfId="15180" xr:uid="{794AB2A6-8456-4D1F-899D-0BAA2C7B9916}"/>
    <cellStyle name="Normal 12 4 6 3" xfId="10962" xr:uid="{65E1D330-203B-4397-B4E6-A8E6AD2184BB}"/>
    <cellStyle name="Normal 12 4 7" xfId="4672" xr:uid="{00000000-0005-0000-0000-0000580E0000}"/>
    <cellStyle name="Normal 12 4 7 2" xfId="13114" xr:uid="{FFCE1937-C79E-4626-AC1B-D7F79DE44FE1}"/>
    <cellStyle name="Normal 12 4 8" xfId="8896" xr:uid="{55F31D21-39D5-4CA6-85F3-4B1BC2CCBD53}"/>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22EA114F-0162-4630-BE85-2EFE662F950D}"/>
    <cellStyle name="Normal 12 6 2 3" xfId="11448" xr:uid="{D62086D1-570D-464B-BBB5-47F3F27E4AD2}"/>
    <cellStyle name="Normal 12 6 3" xfId="5079" xr:uid="{00000000-0005-0000-0000-00005D0E0000}"/>
    <cellStyle name="Normal 12 6 3 2" xfId="13521" xr:uid="{49187DA8-2F54-492A-A354-F799A23D22B3}"/>
    <cellStyle name="Normal 12 6 4" xfId="9303" xr:uid="{9EE6EDE8-4CAE-4FC2-8431-CA06C13E44FE}"/>
    <cellStyle name="Normal 12 7" xfId="1183" xr:uid="{00000000-0005-0000-0000-00005E0E0000}"/>
    <cellStyle name="Normal 12 7 2" xfId="3414" xr:uid="{00000000-0005-0000-0000-00005F0E0000}"/>
    <cellStyle name="Normal 12 7 2 2" xfId="7637" xr:uid="{00000000-0005-0000-0000-0000600E0000}"/>
    <cellStyle name="Normal 12 7 2 2 2" xfId="16079" xr:uid="{5C722D88-20CA-4100-A0B3-C2B251743054}"/>
    <cellStyle name="Normal 12 7 2 3" xfId="11861" xr:uid="{7D8A9ACD-D59B-44EE-89C4-A3ADA558BF52}"/>
    <cellStyle name="Normal 12 7 3" xfId="5492" xr:uid="{00000000-0005-0000-0000-0000610E0000}"/>
    <cellStyle name="Normal 12 7 3 2" xfId="13934" xr:uid="{996A8954-588B-4F13-9892-57C801E8E432}"/>
    <cellStyle name="Normal 12 7 4" xfId="9716" xr:uid="{01ACB91B-85C2-4B6A-83E1-6E3DBAF37817}"/>
    <cellStyle name="Normal 12 8" xfId="1597" xr:uid="{00000000-0005-0000-0000-0000620E0000}"/>
    <cellStyle name="Normal 12 8 2" xfId="3827" xr:uid="{00000000-0005-0000-0000-0000630E0000}"/>
    <cellStyle name="Normal 12 8 2 2" xfId="8050" xr:uid="{00000000-0005-0000-0000-0000640E0000}"/>
    <cellStyle name="Normal 12 8 2 2 2" xfId="16492" xr:uid="{3BE9EDD1-CA50-4819-A3D3-5AC6F77D5C7B}"/>
    <cellStyle name="Normal 12 8 2 3" xfId="12274" xr:uid="{D2783631-6380-423E-B3DF-E8D018DFDC5D}"/>
    <cellStyle name="Normal 12 8 3" xfId="5905" xr:uid="{00000000-0005-0000-0000-0000650E0000}"/>
    <cellStyle name="Normal 12 8 3 2" xfId="14347" xr:uid="{A0629888-740D-4243-AFBA-83CACB13DE86}"/>
    <cellStyle name="Normal 12 8 4" xfId="10129" xr:uid="{19898AFF-4148-4E13-AF99-51F09C08A1BC}"/>
    <cellStyle name="Normal 12 9" xfId="2011" xr:uid="{00000000-0005-0000-0000-0000660E0000}"/>
    <cellStyle name="Normal 12 9 2" xfId="4240" xr:uid="{00000000-0005-0000-0000-0000670E0000}"/>
    <cellStyle name="Normal 12 9 2 2" xfId="8463" xr:uid="{00000000-0005-0000-0000-0000680E0000}"/>
    <cellStyle name="Normal 12 9 2 2 2" xfId="16905" xr:uid="{7DC1C13C-D1B0-494E-93BE-A7F8B39E4B0E}"/>
    <cellStyle name="Normal 12 9 2 3" xfId="12687" xr:uid="{A32FFF6D-EFC3-4B64-B4F5-812A5EE83D94}"/>
    <cellStyle name="Normal 12 9 3" xfId="6318" xr:uid="{00000000-0005-0000-0000-0000690E0000}"/>
    <cellStyle name="Normal 12 9 3 2" xfId="14760" xr:uid="{A223E30F-1488-415D-B668-20B70EE792F4}"/>
    <cellStyle name="Normal 12 9 4" xfId="10542" xr:uid="{D72ACFA9-0E01-4C98-9DD1-206CFE86989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B305AB25-7558-466D-A53B-30294C95D2DE}"/>
    <cellStyle name="Normal 14 2 2 3" xfId="11456" xr:uid="{8DFE203F-F7E6-4B85-B912-656E13A822FD}"/>
    <cellStyle name="Normal 14 2 3" xfId="5087" xr:uid="{00000000-0005-0000-0000-0000700E0000}"/>
    <cellStyle name="Normal 14 2 3 2" xfId="13529" xr:uid="{EFB41C05-6F87-44EE-B706-931E581B5ACF}"/>
    <cellStyle name="Normal 14 2 4" xfId="9311" xr:uid="{4147DD40-563D-4203-9697-09AFFC9816AD}"/>
    <cellStyle name="Normal 14 3" xfId="1191" xr:uid="{00000000-0005-0000-0000-0000710E0000}"/>
    <cellStyle name="Normal 14 3 2" xfId="3422" xr:uid="{00000000-0005-0000-0000-0000720E0000}"/>
    <cellStyle name="Normal 14 3 2 2" xfId="7645" xr:uid="{00000000-0005-0000-0000-0000730E0000}"/>
    <cellStyle name="Normal 14 3 2 2 2" xfId="16087" xr:uid="{3ABA45F1-AA48-41EE-A1CB-1E047E1E75DB}"/>
    <cellStyle name="Normal 14 3 2 3" xfId="11869" xr:uid="{A9AB212E-BDD7-48DA-9DAE-FFF10DE25427}"/>
    <cellStyle name="Normal 14 3 3" xfId="5500" xr:uid="{00000000-0005-0000-0000-0000740E0000}"/>
    <cellStyle name="Normal 14 3 3 2" xfId="13942" xr:uid="{A37BD184-AFF6-4DCB-B8A3-334F1A34F124}"/>
    <cellStyle name="Normal 14 3 4" xfId="9724" xr:uid="{FA20B0CC-6291-4E1F-85BC-3D6FE89ECE58}"/>
    <cellStyle name="Normal 14 4" xfId="1605" xr:uid="{00000000-0005-0000-0000-0000750E0000}"/>
    <cellStyle name="Normal 14 4 2" xfId="3835" xr:uid="{00000000-0005-0000-0000-0000760E0000}"/>
    <cellStyle name="Normal 14 4 2 2" xfId="8058" xr:uid="{00000000-0005-0000-0000-0000770E0000}"/>
    <cellStyle name="Normal 14 4 2 2 2" xfId="16500" xr:uid="{EBADCAF0-81A7-4A83-9E4E-9F31829962D6}"/>
    <cellStyle name="Normal 14 4 2 3" xfId="12282" xr:uid="{E7005AE7-A6A7-4667-9A53-70C3A48C5890}"/>
    <cellStyle name="Normal 14 4 3" xfId="5913" xr:uid="{00000000-0005-0000-0000-0000780E0000}"/>
    <cellStyle name="Normal 14 4 3 2" xfId="14355" xr:uid="{50746FB3-EFF8-443F-855E-7EBAB0EC084F}"/>
    <cellStyle name="Normal 14 4 4" xfId="10137" xr:uid="{E4DD268E-263C-4858-9652-A7B338FBB3C6}"/>
    <cellStyle name="Normal 14 5" xfId="2019" xr:uid="{00000000-0005-0000-0000-0000790E0000}"/>
    <cellStyle name="Normal 14 5 2" xfId="4248" xr:uid="{00000000-0005-0000-0000-00007A0E0000}"/>
    <cellStyle name="Normal 14 5 2 2" xfId="8471" xr:uid="{00000000-0005-0000-0000-00007B0E0000}"/>
    <cellStyle name="Normal 14 5 2 2 2" xfId="16913" xr:uid="{C784BF3A-8252-4362-991D-9295CDA73222}"/>
    <cellStyle name="Normal 14 5 2 3" xfId="12695" xr:uid="{20293EC8-863B-4591-B2D7-BB574D55D6D0}"/>
    <cellStyle name="Normal 14 5 3" xfId="6326" xr:uid="{00000000-0005-0000-0000-00007C0E0000}"/>
    <cellStyle name="Normal 14 5 3 2" xfId="14768" xr:uid="{936F9412-CFE0-4CB9-80BA-2CCEA8E72E1A}"/>
    <cellStyle name="Normal 14 5 4" xfId="10550" xr:uid="{5A06AB03-7B40-4BFD-850B-941D543EE02E}"/>
    <cellStyle name="Normal 14 6" xfId="2455" xr:uid="{00000000-0005-0000-0000-00007D0E0000}"/>
    <cellStyle name="Normal 14 6 2" xfId="6739" xr:uid="{00000000-0005-0000-0000-00007E0E0000}"/>
    <cellStyle name="Normal 14 6 2 2" xfId="15181" xr:uid="{4534D654-FCF1-41DB-9881-8BF1D9238195}"/>
    <cellStyle name="Normal 14 6 3" xfId="10963" xr:uid="{D6561A46-2183-40D6-995C-4DA7BEAF7BAE}"/>
    <cellStyle name="Normal 14 7" xfId="4673" xr:uid="{00000000-0005-0000-0000-00007F0E0000}"/>
    <cellStyle name="Normal 14 7 2" xfId="13115" xr:uid="{AB1B72DE-1E28-43F3-ABA6-1C5453F189F0}"/>
    <cellStyle name="Normal 14 8" xfId="8897" xr:uid="{72D885FA-5D71-4D36-93AC-866340D54A71}"/>
    <cellStyle name="Normal 15" xfId="4496" xr:uid="{00000000-0005-0000-0000-0000800E0000}"/>
    <cellStyle name="Normal 15 2" xfId="12941" xr:uid="{B1610B6B-936E-489A-BDFE-8354DB07A1C2}"/>
    <cellStyle name="Normal 16" xfId="4500" xr:uid="{00000000-0005-0000-0000-0000810E0000}"/>
    <cellStyle name="Normal 16 2" xfId="8716" xr:uid="{00000000-0005-0000-0000-0000820E0000}"/>
    <cellStyle name="Normal 16 2 2" xfId="17158" xr:uid="{AF0AF34A-A9C5-4909-B0F4-7EC5BDBA0C33}"/>
    <cellStyle name="Normal 16 3" xfId="8719" xr:uid="{3DE1BEEB-61FA-4094-B10F-9E0444F68763}"/>
    <cellStyle name="Normal 16 3 2" xfId="8723" xr:uid="{FE0BC069-4698-40B2-814D-8E09719245E9}"/>
    <cellStyle name="Normal 16 3 2 2" xfId="8726" xr:uid="{D3E9609F-293A-4CFC-B194-1FF2F92D621D}"/>
    <cellStyle name="Normal 16 3 2 2 2" xfId="17167" xr:uid="{DBB437EC-D2B1-4C06-80C5-2D9A018CB987}"/>
    <cellStyle name="Normal 16 3 2 3" xfId="17164" xr:uid="{504DC6CF-446E-49E1-8A07-C0987E86617A}"/>
    <cellStyle name="Normal 16 3 3" xfId="17161" xr:uid="{317A9C35-ACA0-4AC6-AE49-DB72037D79C7}"/>
    <cellStyle name="Normal 16 4" xfId="12944" xr:uid="{08E7B683-D2D3-475F-B1BC-1C4DF9EA028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FA2994D8-6408-411F-A9FC-C229FB979700}"/>
    <cellStyle name="Normal 2 4 2 10 2 3" xfId="12696" xr:uid="{DE39F226-7181-4C8F-8D8C-AD4C82DFE89F}"/>
    <cellStyle name="Normal 2 4 2 10 3" xfId="6327" xr:uid="{00000000-0005-0000-0000-0000910E0000}"/>
    <cellStyle name="Normal 2 4 2 10 3 2" xfId="14769" xr:uid="{0E41F90D-D5EC-44AB-914D-D29695D368E3}"/>
    <cellStyle name="Normal 2 4 2 10 4" xfId="10551" xr:uid="{F6EC3E3B-2EC4-4D2C-8DDB-A8AE96F463BA}"/>
    <cellStyle name="Normal 2 4 2 11" xfId="2456" xr:uid="{00000000-0005-0000-0000-0000920E0000}"/>
    <cellStyle name="Normal 2 4 2 11 2" xfId="6740" xr:uid="{00000000-0005-0000-0000-0000930E0000}"/>
    <cellStyle name="Normal 2 4 2 11 2 2" xfId="15182" xr:uid="{63E265E2-7789-4956-B64E-A90709A2024E}"/>
    <cellStyle name="Normal 2 4 2 11 3" xfId="10964" xr:uid="{8E2C27B7-9FEA-4011-AA3A-EC680C1C04C1}"/>
    <cellStyle name="Normal 2 4 2 12" xfId="4674" xr:uid="{00000000-0005-0000-0000-0000940E0000}"/>
    <cellStyle name="Normal 2 4 2 12 2" xfId="13116" xr:uid="{64252C68-6FBF-46F5-962D-B47922FB5DF6}"/>
    <cellStyle name="Normal 2 4 2 13" xfId="8898" xr:uid="{9252F26A-AECE-45AC-A5CE-406D18377A04}"/>
    <cellStyle name="Normal 2 4 2 2" xfId="280" xr:uid="{00000000-0005-0000-0000-0000950E0000}"/>
    <cellStyle name="Normal 2 4 2 3" xfId="281" xr:uid="{00000000-0005-0000-0000-0000960E0000}"/>
    <cellStyle name="Normal 2 4 2 3 10" xfId="4675" xr:uid="{00000000-0005-0000-0000-0000970E0000}"/>
    <cellStyle name="Normal 2 4 2 3 10 2" xfId="13117" xr:uid="{81C374D3-BDD9-48B4-995D-828DC7858F84}"/>
    <cellStyle name="Normal 2 4 2 3 11" xfId="8899" xr:uid="{4A1D7281-1F84-4CB9-BE96-2935D28D92CE}"/>
    <cellStyle name="Normal 2 4 2 3 2" xfId="282" xr:uid="{00000000-0005-0000-0000-0000980E0000}"/>
    <cellStyle name="Normal 2 4 2 3 2 10" xfId="8900" xr:uid="{0E2F8C59-9F6E-498D-92BB-4AFEBF1E2DC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9826D55-4D00-4F4F-9729-72D766EFF827}"/>
    <cellStyle name="Normal 2 4 2 3 2 2 2 2 2 3" xfId="11461" xr:uid="{2A2873AB-FAB2-496B-B8A4-6CC6523E6B56}"/>
    <cellStyle name="Normal 2 4 2 3 2 2 2 2 3" xfId="5092" xr:uid="{00000000-0005-0000-0000-00009E0E0000}"/>
    <cellStyle name="Normal 2 4 2 3 2 2 2 2 3 2" xfId="13534" xr:uid="{18AB8D08-BDD6-48A6-9C15-4555343E00A5}"/>
    <cellStyle name="Normal 2 4 2 3 2 2 2 2 4" xfId="9316" xr:uid="{6B54450A-C5EE-4F89-9D7D-CC94AB07848D}"/>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DC25C2CB-3051-4BAE-A0A2-602DB3697C3E}"/>
    <cellStyle name="Normal 2 4 2 3 2 2 2 3 2 3" xfId="11874" xr:uid="{687717C6-3D73-496C-899E-60668B6B90B2}"/>
    <cellStyle name="Normal 2 4 2 3 2 2 2 3 3" xfId="5505" xr:uid="{00000000-0005-0000-0000-0000A20E0000}"/>
    <cellStyle name="Normal 2 4 2 3 2 2 2 3 3 2" xfId="13947" xr:uid="{D6A1C435-5398-43ED-A6F8-6AB17136D836}"/>
    <cellStyle name="Normal 2 4 2 3 2 2 2 3 4" xfId="9729" xr:uid="{77EAF618-440B-484C-9A76-7A4AFF60E7A7}"/>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509EC255-0E83-4692-8E2D-1BDF595149F1}"/>
    <cellStyle name="Normal 2 4 2 3 2 2 2 4 2 3" xfId="12287" xr:uid="{936A6F80-A708-412A-8333-04F2A67461C1}"/>
    <cellStyle name="Normal 2 4 2 3 2 2 2 4 3" xfId="5918" xr:uid="{00000000-0005-0000-0000-0000A60E0000}"/>
    <cellStyle name="Normal 2 4 2 3 2 2 2 4 3 2" xfId="14360" xr:uid="{C0D6C9B5-E495-4B04-B2DE-B95CA2DA9366}"/>
    <cellStyle name="Normal 2 4 2 3 2 2 2 4 4" xfId="10142" xr:uid="{AC0C7EF6-6B62-47A5-8DB8-F31412F5D9D3}"/>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8F2EE52C-872E-4179-996A-14CC40B4F923}"/>
    <cellStyle name="Normal 2 4 2 3 2 2 2 5 2 3" xfId="12700" xr:uid="{8EEC992C-974B-458C-B8E4-F51B6C98347C}"/>
    <cellStyle name="Normal 2 4 2 3 2 2 2 5 3" xfId="6331" xr:uid="{00000000-0005-0000-0000-0000AA0E0000}"/>
    <cellStyle name="Normal 2 4 2 3 2 2 2 5 3 2" xfId="14773" xr:uid="{6636806C-EA83-4096-A3EE-3C0CDCF44141}"/>
    <cellStyle name="Normal 2 4 2 3 2 2 2 5 4" xfId="10555" xr:uid="{4AF1D997-8275-4BE8-8086-8ED3337FF8E6}"/>
    <cellStyle name="Normal 2 4 2 3 2 2 2 6" xfId="2460" xr:uid="{00000000-0005-0000-0000-0000AB0E0000}"/>
    <cellStyle name="Normal 2 4 2 3 2 2 2 6 2" xfId="6744" xr:uid="{00000000-0005-0000-0000-0000AC0E0000}"/>
    <cellStyle name="Normal 2 4 2 3 2 2 2 6 2 2" xfId="15186" xr:uid="{20376F79-F893-4F2B-915A-CFA000CD0F6A}"/>
    <cellStyle name="Normal 2 4 2 3 2 2 2 6 3" xfId="10968" xr:uid="{7BBCE86E-68C1-428A-8565-12273118DA46}"/>
    <cellStyle name="Normal 2 4 2 3 2 2 2 7" xfId="4678" xr:uid="{00000000-0005-0000-0000-0000AD0E0000}"/>
    <cellStyle name="Normal 2 4 2 3 2 2 2 7 2" xfId="13120" xr:uid="{0ECF1B19-D8A0-412D-8AD2-4B6C432A944F}"/>
    <cellStyle name="Normal 2 4 2 3 2 2 2 8" xfId="8902" xr:uid="{28331BD5-23E2-4564-BE70-D0037E033311}"/>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63C207E-5096-4F2D-97EB-A008B3821743}"/>
    <cellStyle name="Normal 2 4 2 3 2 2 3 2 3" xfId="11460" xr:uid="{6261881C-3429-42BE-AB4F-4B9ED284407F}"/>
    <cellStyle name="Normal 2 4 2 3 2 2 3 3" xfId="5091" xr:uid="{00000000-0005-0000-0000-0000B10E0000}"/>
    <cellStyle name="Normal 2 4 2 3 2 2 3 3 2" xfId="13533" xr:uid="{AD3BCADF-C283-48F7-A105-FD3BFFCA6CDE}"/>
    <cellStyle name="Normal 2 4 2 3 2 2 3 4" xfId="9315" xr:uid="{97EE0A64-8C14-439C-A5EE-F09676FF597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08101EC3-A908-4E02-8657-96426B81C5B5}"/>
    <cellStyle name="Normal 2 4 2 3 2 2 4 2 3" xfId="11873" xr:uid="{EFEF60F3-3AEC-4DF2-BF43-242F1FD0857F}"/>
    <cellStyle name="Normal 2 4 2 3 2 2 4 3" xfId="5504" xr:uid="{00000000-0005-0000-0000-0000B50E0000}"/>
    <cellStyle name="Normal 2 4 2 3 2 2 4 3 2" xfId="13946" xr:uid="{6A2E729E-18FD-4D79-8611-B0F8161EFC3C}"/>
    <cellStyle name="Normal 2 4 2 3 2 2 4 4" xfId="9728" xr:uid="{04C6DE14-6D28-4E65-B0CA-3E07C1764CB7}"/>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60B49DD2-1B55-4F87-A398-E9DC854247C2}"/>
    <cellStyle name="Normal 2 4 2 3 2 2 5 2 3" xfId="12286" xr:uid="{0353DB1F-5419-476B-A8E3-FCCF36421C9B}"/>
    <cellStyle name="Normal 2 4 2 3 2 2 5 3" xfId="5917" xr:uid="{00000000-0005-0000-0000-0000B90E0000}"/>
    <cellStyle name="Normal 2 4 2 3 2 2 5 3 2" xfId="14359" xr:uid="{51BD9505-B5C0-4113-9BF4-432CFAA729B8}"/>
    <cellStyle name="Normal 2 4 2 3 2 2 5 4" xfId="10141" xr:uid="{D1A69872-21DF-47F6-9C4A-979FD447D70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54062094-3CC9-4B0F-9720-068B328AFAD0}"/>
    <cellStyle name="Normal 2 4 2 3 2 2 6 2 3" xfId="12699" xr:uid="{400EB210-EC1E-4FE6-A749-444BCBDE440C}"/>
    <cellStyle name="Normal 2 4 2 3 2 2 6 3" xfId="6330" xr:uid="{00000000-0005-0000-0000-0000BD0E0000}"/>
    <cellStyle name="Normal 2 4 2 3 2 2 6 3 2" xfId="14772" xr:uid="{676C578B-235E-43BE-AFEF-F9A251A7A0ED}"/>
    <cellStyle name="Normal 2 4 2 3 2 2 6 4" xfId="10554" xr:uid="{27CCD005-55C0-443E-B4F9-E07709137993}"/>
    <cellStyle name="Normal 2 4 2 3 2 2 7" xfId="2459" xr:uid="{00000000-0005-0000-0000-0000BE0E0000}"/>
    <cellStyle name="Normal 2 4 2 3 2 2 7 2" xfId="6743" xr:uid="{00000000-0005-0000-0000-0000BF0E0000}"/>
    <cellStyle name="Normal 2 4 2 3 2 2 7 2 2" xfId="15185" xr:uid="{5B92F8F9-765A-4122-9CB9-40D796215803}"/>
    <cellStyle name="Normal 2 4 2 3 2 2 7 3" xfId="10967" xr:uid="{0D84EC3F-DC7E-403A-A2BC-F5BFBB0D641E}"/>
    <cellStyle name="Normal 2 4 2 3 2 2 8" xfId="4677" xr:uid="{00000000-0005-0000-0000-0000C00E0000}"/>
    <cellStyle name="Normal 2 4 2 3 2 2 8 2" xfId="13119" xr:uid="{DF257C7D-0827-4FD5-A004-550EE19C4953}"/>
    <cellStyle name="Normal 2 4 2 3 2 2 9" xfId="8901" xr:uid="{F4771C81-5956-4C10-835E-265725544E0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3911D090-E527-4EBE-8D9D-57E62D66A946}"/>
    <cellStyle name="Normal 2 4 2 3 2 3 2 2 3" xfId="11462" xr:uid="{B0AD2DBB-7748-405A-A679-8F1B5EE64E46}"/>
    <cellStyle name="Normal 2 4 2 3 2 3 2 3" xfId="5093" xr:uid="{00000000-0005-0000-0000-0000C50E0000}"/>
    <cellStyle name="Normal 2 4 2 3 2 3 2 3 2" xfId="13535" xr:uid="{F19346BB-2341-48A5-89E0-314A57869B9C}"/>
    <cellStyle name="Normal 2 4 2 3 2 3 2 4" xfId="9317" xr:uid="{BAF43640-B197-4FB0-B4D2-06EFE4A5908C}"/>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1A272CCC-7F86-422D-AB61-E1B37B0AF713}"/>
    <cellStyle name="Normal 2 4 2 3 2 3 3 2 3" xfId="11875" xr:uid="{CCA29C36-5586-487F-AECA-9A253E034F32}"/>
    <cellStyle name="Normal 2 4 2 3 2 3 3 3" xfId="5506" xr:uid="{00000000-0005-0000-0000-0000C90E0000}"/>
    <cellStyle name="Normal 2 4 2 3 2 3 3 3 2" xfId="13948" xr:uid="{742D91E6-A292-4C4A-A3D1-C3BB3FAB131E}"/>
    <cellStyle name="Normal 2 4 2 3 2 3 3 4" xfId="9730" xr:uid="{128DE122-6C76-4911-A687-A8AE179D7755}"/>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4CA85961-E161-4684-9F61-C915BC182B0E}"/>
    <cellStyle name="Normal 2 4 2 3 2 3 4 2 3" xfId="12288" xr:uid="{E6A6BC51-F2F0-4B5B-A276-ACAB8816D8BC}"/>
    <cellStyle name="Normal 2 4 2 3 2 3 4 3" xfId="5919" xr:uid="{00000000-0005-0000-0000-0000CD0E0000}"/>
    <cellStyle name="Normal 2 4 2 3 2 3 4 3 2" xfId="14361" xr:uid="{2ECFDD85-7A05-4560-97A5-58C690254C9E}"/>
    <cellStyle name="Normal 2 4 2 3 2 3 4 4" xfId="10143" xr:uid="{BD1FE107-7B47-4C0D-970D-B358D2BFC156}"/>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6E166E66-2396-4107-9015-0CDE9F4A1C94}"/>
    <cellStyle name="Normal 2 4 2 3 2 3 5 2 3" xfId="12701" xr:uid="{5700C441-987C-4D1C-982A-D4F0BD056D8B}"/>
    <cellStyle name="Normal 2 4 2 3 2 3 5 3" xfId="6332" xr:uid="{00000000-0005-0000-0000-0000D10E0000}"/>
    <cellStyle name="Normal 2 4 2 3 2 3 5 3 2" xfId="14774" xr:uid="{C9F41663-F0C9-4012-BE44-9F1842DA4037}"/>
    <cellStyle name="Normal 2 4 2 3 2 3 5 4" xfId="10556" xr:uid="{D7284155-1A3B-429E-AC98-0DFB2E5451CC}"/>
    <cellStyle name="Normal 2 4 2 3 2 3 6" xfId="2461" xr:uid="{00000000-0005-0000-0000-0000D20E0000}"/>
    <cellStyle name="Normal 2 4 2 3 2 3 6 2" xfId="6745" xr:uid="{00000000-0005-0000-0000-0000D30E0000}"/>
    <cellStyle name="Normal 2 4 2 3 2 3 6 2 2" xfId="15187" xr:uid="{3960B05D-48EC-4C91-9153-9C228D2E2BB8}"/>
    <cellStyle name="Normal 2 4 2 3 2 3 6 3" xfId="10969" xr:uid="{7400B4CB-3CAC-4B98-968F-3CA0865A5F0B}"/>
    <cellStyle name="Normal 2 4 2 3 2 3 7" xfId="4679" xr:uid="{00000000-0005-0000-0000-0000D40E0000}"/>
    <cellStyle name="Normal 2 4 2 3 2 3 7 2" xfId="13121" xr:uid="{2B19F195-FE70-4C3E-B102-C01069DF8458}"/>
    <cellStyle name="Normal 2 4 2 3 2 3 8" xfId="8903" xr:uid="{BFCDB53A-A3F1-41E1-92FC-CF074C341F77}"/>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2FE04ADC-40A9-4C49-B634-A0A6C8016991}"/>
    <cellStyle name="Normal 2 4 2 3 2 4 2 3" xfId="11459" xr:uid="{CFEEF5CA-5627-4590-80E3-C6F288F51804}"/>
    <cellStyle name="Normal 2 4 2 3 2 4 3" xfId="5090" xr:uid="{00000000-0005-0000-0000-0000D80E0000}"/>
    <cellStyle name="Normal 2 4 2 3 2 4 3 2" xfId="13532" xr:uid="{43BE77F5-8D0E-4F16-B45E-B0976F615810}"/>
    <cellStyle name="Normal 2 4 2 3 2 4 4" xfId="9314" xr:uid="{C63AF40A-A970-44A2-9D8D-BFDBE4EFC9B9}"/>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0660FAEC-1BE9-4028-8A89-0CFBA078D344}"/>
    <cellStyle name="Normal 2 4 2 3 2 5 2 3" xfId="11872" xr:uid="{CE935F98-0CDB-4A71-A65D-39980BFF7BB6}"/>
    <cellStyle name="Normal 2 4 2 3 2 5 3" xfId="5503" xr:uid="{00000000-0005-0000-0000-0000DC0E0000}"/>
    <cellStyle name="Normal 2 4 2 3 2 5 3 2" xfId="13945" xr:uid="{D6CE6F01-B43C-4CAC-8A10-E2B46923ED5C}"/>
    <cellStyle name="Normal 2 4 2 3 2 5 4" xfId="9727" xr:uid="{A5937E41-4366-4490-A7E4-8FC9C25B8983}"/>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E0099DCD-B751-4841-B93D-83C0BB9CE142}"/>
    <cellStyle name="Normal 2 4 2 3 2 6 2 3" xfId="12285" xr:uid="{C4515F6B-62A9-4A45-B16A-3BA2D5208ACC}"/>
    <cellStyle name="Normal 2 4 2 3 2 6 3" xfId="5916" xr:uid="{00000000-0005-0000-0000-0000E00E0000}"/>
    <cellStyle name="Normal 2 4 2 3 2 6 3 2" xfId="14358" xr:uid="{3B10A190-FCFF-4680-AF7D-183ADFD42F25}"/>
    <cellStyle name="Normal 2 4 2 3 2 6 4" xfId="10140" xr:uid="{FEBFB896-7F66-47E9-8B37-6E44D4CF238A}"/>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8197A86F-0478-4B31-BB67-CDC87B6032F9}"/>
    <cellStyle name="Normal 2 4 2 3 2 7 2 3" xfId="12698" xr:uid="{C35783FD-D170-430B-97C8-ABE37ADFCC43}"/>
    <cellStyle name="Normal 2 4 2 3 2 7 3" xfId="6329" xr:uid="{00000000-0005-0000-0000-0000E40E0000}"/>
    <cellStyle name="Normal 2 4 2 3 2 7 3 2" xfId="14771" xr:uid="{12916E40-156C-4D8C-AF3B-760956884749}"/>
    <cellStyle name="Normal 2 4 2 3 2 7 4" xfId="10553" xr:uid="{25B8D32C-35E5-459C-A015-C3934CD62ECA}"/>
    <cellStyle name="Normal 2 4 2 3 2 8" xfId="2458" xr:uid="{00000000-0005-0000-0000-0000E50E0000}"/>
    <cellStyle name="Normal 2 4 2 3 2 8 2" xfId="6742" xr:uid="{00000000-0005-0000-0000-0000E60E0000}"/>
    <cellStyle name="Normal 2 4 2 3 2 8 2 2" xfId="15184" xr:uid="{D0A1A250-C427-49F0-B0A7-406CA4D472A9}"/>
    <cellStyle name="Normal 2 4 2 3 2 8 3" xfId="10966" xr:uid="{BB92EBAB-6DD5-416A-9DCD-FC030C58A9AE}"/>
    <cellStyle name="Normal 2 4 2 3 2 9" xfId="4676" xr:uid="{00000000-0005-0000-0000-0000E70E0000}"/>
    <cellStyle name="Normal 2 4 2 3 2 9 2" xfId="13118" xr:uid="{EFEE3784-341C-45F3-8FFE-6AC2DD4FE8F2}"/>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A655A054-5310-420E-81AE-CD6C6C78B2F9}"/>
    <cellStyle name="Normal 2 4 2 3 3 2 2 2 3" xfId="11464" xr:uid="{B41E3F5F-BB7D-4BF9-80D7-D978D287155A}"/>
    <cellStyle name="Normal 2 4 2 3 3 2 2 3" xfId="5095" xr:uid="{00000000-0005-0000-0000-0000ED0E0000}"/>
    <cellStyle name="Normal 2 4 2 3 3 2 2 3 2" xfId="13537" xr:uid="{FF9D17D9-37FA-41C0-9D92-E30FBF4E0462}"/>
    <cellStyle name="Normal 2 4 2 3 3 2 2 4" xfId="9319" xr:uid="{4F7E3BD3-DE2D-4710-81C8-B973560E8162}"/>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2E519492-83A9-4AF3-AA4E-50BE3E6A9CEE}"/>
    <cellStyle name="Normal 2 4 2 3 3 2 3 2 3" xfId="11877" xr:uid="{B14224BD-E0AC-412C-9784-426205437781}"/>
    <cellStyle name="Normal 2 4 2 3 3 2 3 3" xfId="5508" xr:uid="{00000000-0005-0000-0000-0000F10E0000}"/>
    <cellStyle name="Normal 2 4 2 3 3 2 3 3 2" xfId="13950" xr:uid="{55798348-629C-4B7A-B34F-02A1C12A0A30}"/>
    <cellStyle name="Normal 2 4 2 3 3 2 3 4" xfId="9732" xr:uid="{D3E9CEC3-0650-407D-BFFF-23E5B2E0702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DA4F74E9-01D5-45D6-A2CA-FC3D50157C7F}"/>
    <cellStyle name="Normal 2 4 2 3 3 2 4 2 3" xfId="12290" xr:uid="{6A96A615-D035-40CE-8850-A9436E8E25D0}"/>
    <cellStyle name="Normal 2 4 2 3 3 2 4 3" xfId="5921" xr:uid="{00000000-0005-0000-0000-0000F50E0000}"/>
    <cellStyle name="Normal 2 4 2 3 3 2 4 3 2" xfId="14363" xr:uid="{D814D280-0FC6-46F3-AA17-E733914FE34B}"/>
    <cellStyle name="Normal 2 4 2 3 3 2 4 4" xfId="10145" xr:uid="{E63D68BC-9095-4D3B-AE42-55E31873A80D}"/>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F912EC37-88F6-4971-ADC8-4E1EC002AB94}"/>
    <cellStyle name="Normal 2 4 2 3 3 2 5 2 3" xfId="12703" xr:uid="{9C68419A-2DA3-4EBE-9A8E-68CF843B88B9}"/>
    <cellStyle name="Normal 2 4 2 3 3 2 5 3" xfId="6334" xr:uid="{00000000-0005-0000-0000-0000F90E0000}"/>
    <cellStyle name="Normal 2 4 2 3 3 2 5 3 2" xfId="14776" xr:uid="{BA5AF6B3-9562-441A-AB40-2A79544EE243}"/>
    <cellStyle name="Normal 2 4 2 3 3 2 5 4" xfId="10558" xr:uid="{03982275-CBFE-445E-9D02-DFD7274D73AF}"/>
    <cellStyle name="Normal 2 4 2 3 3 2 6" xfId="2463" xr:uid="{00000000-0005-0000-0000-0000FA0E0000}"/>
    <cellStyle name="Normal 2 4 2 3 3 2 6 2" xfId="6747" xr:uid="{00000000-0005-0000-0000-0000FB0E0000}"/>
    <cellStyle name="Normal 2 4 2 3 3 2 6 2 2" xfId="15189" xr:uid="{CEF7FEE4-1747-4138-9A3D-5317C1805D33}"/>
    <cellStyle name="Normal 2 4 2 3 3 2 6 3" xfId="10971" xr:uid="{2A231AB7-59D2-4798-B5E2-398547A69496}"/>
    <cellStyle name="Normal 2 4 2 3 3 2 7" xfId="4681" xr:uid="{00000000-0005-0000-0000-0000FC0E0000}"/>
    <cellStyle name="Normal 2 4 2 3 3 2 7 2" xfId="13123" xr:uid="{AD237038-9DC3-4EBB-92F0-BA84181711ED}"/>
    <cellStyle name="Normal 2 4 2 3 3 2 8" xfId="8905" xr:uid="{DC3D1A62-B0C3-499A-8E00-18A23D8F4911}"/>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DBC5C8DA-EA68-47C2-838A-8BAD04B239E3}"/>
    <cellStyle name="Normal 2 4 2 3 3 3 2 3" xfId="11463" xr:uid="{DA957120-A551-4B0C-8EC6-8CB0579F593C}"/>
    <cellStyle name="Normal 2 4 2 3 3 3 3" xfId="5094" xr:uid="{00000000-0005-0000-0000-0000000F0000}"/>
    <cellStyle name="Normal 2 4 2 3 3 3 3 2" xfId="13536" xr:uid="{DAE87852-DD8D-4EE0-8781-E459ED0DCB42}"/>
    <cellStyle name="Normal 2 4 2 3 3 3 4" xfId="9318" xr:uid="{5A3CD2E7-4FF1-44BA-88D3-11869E563EEE}"/>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5B6D57AB-2063-4DDF-93E0-29EDB83C4064}"/>
    <cellStyle name="Normal 2 4 2 3 3 4 2 3" xfId="11876" xr:uid="{609C4C95-7415-404B-B53F-7518BB868392}"/>
    <cellStyle name="Normal 2 4 2 3 3 4 3" xfId="5507" xr:uid="{00000000-0005-0000-0000-0000040F0000}"/>
    <cellStyle name="Normal 2 4 2 3 3 4 3 2" xfId="13949" xr:uid="{65996808-9771-49CD-91B1-844363A85321}"/>
    <cellStyle name="Normal 2 4 2 3 3 4 4" xfId="9731" xr:uid="{59507A50-CC78-45AA-B138-A3EA531763CE}"/>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3847FD13-C3A3-4138-BBCC-4A3FDA8B74AD}"/>
    <cellStyle name="Normal 2 4 2 3 3 5 2 3" xfId="12289" xr:uid="{00CD496B-1970-4A0E-858E-6945DFC67E39}"/>
    <cellStyle name="Normal 2 4 2 3 3 5 3" xfId="5920" xr:uid="{00000000-0005-0000-0000-0000080F0000}"/>
    <cellStyle name="Normal 2 4 2 3 3 5 3 2" xfId="14362" xr:uid="{7F143E19-4ECA-412C-8301-B4064E1FF208}"/>
    <cellStyle name="Normal 2 4 2 3 3 5 4" xfId="10144" xr:uid="{9CFCB3FE-A6D8-48E6-BB94-3C3AF9402826}"/>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AAF71EA-090D-4D14-B099-D105F4894386}"/>
    <cellStyle name="Normal 2 4 2 3 3 6 2 3" xfId="12702" xr:uid="{2BF4630E-80A6-4D29-9515-0C4B2B8EF268}"/>
    <cellStyle name="Normal 2 4 2 3 3 6 3" xfId="6333" xr:uid="{00000000-0005-0000-0000-00000C0F0000}"/>
    <cellStyle name="Normal 2 4 2 3 3 6 3 2" xfId="14775" xr:uid="{F71174C0-AD09-4BA9-B52F-7C1287EFAA7B}"/>
    <cellStyle name="Normal 2 4 2 3 3 6 4" xfId="10557" xr:uid="{0A8CFED6-D0CD-46DC-BB6D-DEC6CD47227A}"/>
    <cellStyle name="Normal 2 4 2 3 3 7" xfId="2462" xr:uid="{00000000-0005-0000-0000-00000D0F0000}"/>
    <cellStyle name="Normal 2 4 2 3 3 7 2" xfId="6746" xr:uid="{00000000-0005-0000-0000-00000E0F0000}"/>
    <cellStyle name="Normal 2 4 2 3 3 7 2 2" xfId="15188" xr:uid="{EA02F039-65B1-42DD-B57C-0876BEE82D9A}"/>
    <cellStyle name="Normal 2 4 2 3 3 7 3" xfId="10970" xr:uid="{13A54F1A-DA83-4EC3-870B-F9F799C912E9}"/>
    <cellStyle name="Normal 2 4 2 3 3 8" xfId="4680" xr:uid="{00000000-0005-0000-0000-00000F0F0000}"/>
    <cellStyle name="Normal 2 4 2 3 3 8 2" xfId="13122" xr:uid="{3E2BEC16-A57E-4859-A4CC-F5F32FDE89C9}"/>
    <cellStyle name="Normal 2 4 2 3 3 9" xfId="8904" xr:uid="{A6F1D85A-D81C-48E2-9970-B601F0786BF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33A96ABD-EEB9-4FE6-AF94-5119377B7D8F}"/>
    <cellStyle name="Normal 2 4 2 3 4 2 2 3" xfId="11465" xr:uid="{230790E2-CD69-43FF-82CD-68408411E472}"/>
    <cellStyle name="Normal 2 4 2 3 4 2 3" xfId="5096" xr:uid="{00000000-0005-0000-0000-0000140F0000}"/>
    <cellStyle name="Normal 2 4 2 3 4 2 3 2" xfId="13538" xr:uid="{A01B4D97-200C-477A-819E-89AAB75A7918}"/>
    <cellStyle name="Normal 2 4 2 3 4 2 4" xfId="9320" xr:uid="{F0588644-8EBE-4242-B40A-2BB6FCC8BA42}"/>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34BC44EC-EE47-436A-9258-ED757109E579}"/>
    <cellStyle name="Normal 2 4 2 3 4 3 2 3" xfId="11878" xr:uid="{ADF7323F-7523-44ED-8719-9C0A9EF40E97}"/>
    <cellStyle name="Normal 2 4 2 3 4 3 3" xfId="5509" xr:uid="{00000000-0005-0000-0000-0000180F0000}"/>
    <cellStyle name="Normal 2 4 2 3 4 3 3 2" xfId="13951" xr:uid="{3397BB9C-901B-438E-86A4-259D67EE7A97}"/>
    <cellStyle name="Normal 2 4 2 3 4 3 4" xfId="9733" xr:uid="{A9808F24-4950-4BD4-B526-EA43D2A70F6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F361E0CA-8618-45C4-9388-70C301E3DAF0}"/>
    <cellStyle name="Normal 2 4 2 3 4 4 2 3" xfId="12291" xr:uid="{920A3C65-9307-48B5-BF31-6435AC9A54D5}"/>
    <cellStyle name="Normal 2 4 2 3 4 4 3" xfId="5922" xr:uid="{00000000-0005-0000-0000-00001C0F0000}"/>
    <cellStyle name="Normal 2 4 2 3 4 4 3 2" xfId="14364" xr:uid="{F2538C0E-3FC4-42F9-9DA7-BB515ABCB96F}"/>
    <cellStyle name="Normal 2 4 2 3 4 4 4" xfId="10146" xr:uid="{92005876-0768-49CE-8E05-EE93DCEC7282}"/>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AA8E9785-A8CB-45BE-A67B-87C29AFA0E19}"/>
    <cellStyle name="Normal 2 4 2 3 4 5 2 3" xfId="12704" xr:uid="{69AC78A2-E4A6-4BF4-A1DC-D92F9F2B6410}"/>
    <cellStyle name="Normal 2 4 2 3 4 5 3" xfId="6335" xr:uid="{00000000-0005-0000-0000-0000200F0000}"/>
    <cellStyle name="Normal 2 4 2 3 4 5 3 2" xfId="14777" xr:uid="{67E0B4E5-BAB9-4DF7-91C6-D008644B9655}"/>
    <cellStyle name="Normal 2 4 2 3 4 5 4" xfId="10559" xr:uid="{2C1C2778-85CE-40C1-BFB9-52D72C4191D9}"/>
    <cellStyle name="Normal 2 4 2 3 4 6" xfId="2464" xr:uid="{00000000-0005-0000-0000-0000210F0000}"/>
    <cellStyle name="Normal 2 4 2 3 4 6 2" xfId="6748" xr:uid="{00000000-0005-0000-0000-0000220F0000}"/>
    <cellStyle name="Normal 2 4 2 3 4 6 2 2" xfId="15190" xr:uid="{A0906B35-B22C-46EE-AF24-FED1EC13C18E}"/>
    <cellStyle name="Normal 2 4 2 3 4 6 3" xfId="10972" xr:uid="{E2C2FF1F-361E-4B43-9C19-023260CBCA89}"/>
    <cellStyle name="Normal 2 4 2 3 4 7" xfId="4682" xr:uid="{00000000-0005-0000-0000-0000230F0000}"/>
    <cellStyle name="Normal 2 4 2 3 4 7 2" xfId="13124" xr:uid="{EAB7BD25-E0E5-4028-B027-303579F30FF0}"/>
    <cellStyle name="Normal 2 4 2 3 4 8" xfId="8906" xr:uid="{03F676DB-DF76-45C4-9D09-318B1DF660D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8725E082-F9C8-4875-B57A-67A6669BDF07}"/>
    <cellStyle name="Normal 2 4 2 3 5 2 3" xfId="11458" xr:uid="{669374CC-23CA-40B0-8CE4-CAEE439B654A}"/>
    <cellStyle name="Normal 2 4 2 3 5 3" xfId="5089" xr:uid="{00000000-0005-0000-0000-0000270F0000}"/>
    <cellStyle name="Normal 2 4 2 3 5 3 2" xfId="13531" xr:uid="{8EB1E6C0-FE29-4282-8A02-BFC35169CB16}"/>
    <cellStyle name="Normal 2 4 2 3 5 4" xfId="9313" xr:uid="{37174C3D-B292-4675-805E-0BDBEF9FFC61}"/>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D577BB8F-C01F-4300-881B-E82AA0E7A6AD}"/>
    <cellStyle name="Normal 2 4 2 3 6 2 3" xfId="11871" xr:uid="{5C10F200-1EF9-4837-95AE-040BE246C200}"/>
    <cellStyle name="Normal 2 4 2 3 6 3" xfId="5502" xr:uid="{00000000-0005-0000-0000-00002B0F0000}"/>
    <cellStyle name="Normal 2 4 2 3 6 3 2" xfId="13944" xr:uid="{C87C212D-9A10-4562-AFC5-B61671BBE2F9}"/>
    <cellStyle name="Normal 2 4 2 3 6 4" xfId="9726" xr:uid="{961686E5-945E-436F-8F9D-84A37EED458D}"/>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6ED90F4C-A892-41B5-9C61-7DCF4D48C811}"/>
    <cellStyle name="Normal 2 4 2 3 7 2 3" xfId="12284" xr:uid="{C5D95D20-73C6-4983-9773-45593A690E26}"/>
    <cellStyle name="Normal 2 4 2 3 7 3" xfId="5915" xr:uid="{00000000-0005-0000-0000-00002F0F0000}"/>
    <cellStyle name="Normal 2 4 2 3 7 3 2" xfId="14357" xr:uid="{20312299-0540-40ED-BF4B-BCFD3F0837A9}"/>
    <cellStyle name="Normal 2 4 2 3 7 4" xfId="10139" xr:uid="{4D539F2F-7737-49A9-8983-AAED4815AF6E}"/>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217E4416-7C1E-45D8-8ACC-286E46E7524B}"/>
    <cellStyle name="Normal 2 4 2 3 8 2 3" xfId="12697" xr:uid="{81E9047F-D41C-40DF-BC0E-C3E1A77CA320}"/>
    <cellStyle name="Normal 2 4 2 3 8 3" xfId="6328" xr:uid="{00000000-0005-0000-0000-0000330F0000}"/>
    <cellStyle name="Normal 2 4 2 3 8 3 2" xfId="14770" xr:uid="{CBEE9999-657C-4274-A2A7-6B6007B8934F}"/>
    <cellStyle name="Normal 2 4 2 3 8 4" xfId="10552" xr:uid="{6FCD7039-89D0-4850-B213-FF0F1F83D3E8}"/>
    <cellStyle name="Normal 2 4 2 3 9" xfId="2457" xr:uid="{00000000-0005-0000-0000-0000340F0000}"/>
    <cellStyle name="Normal 2 4 2 3 9 2" xfId="6741" xr:uid="{00000000-0005-0000-0000-0000350F0000}"/>
    <cellStyle name="Normal 2 4 2 3 9 2 2" xfId="15183" xr:uid="{B0521F5B-34D5-4459-BB3D-DF2505593922}"/>
    <cellStyle name="Normal 2 4 2 3 9 3" xfId="10965" xr:uid="{D4B29E84-571E-4528-9BA4-565EB0A48C64}"/>
    <cellStyle name="Normal 2 4 2 4" xfId="289" xr:uid="{00000000-0005-0000-0000-0000360F0000}"/>
    <cellStyle name="Normal 2 4 2 4 10" xfId="8907" xr:uid="{B0B1012A-DCD8-4699-912A-C24852FF8F45}"/>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D063ED03-C4DD-4151-9F12-385417179F64}"/>
    <cellStyle name="Normal 2 4 2 4 2 2 2 2 3" xfId="11468" xr:uid="{EA931770-5771-4285-9337-3005EC3A94BD}"/>
    <cellStyle name="Normal 2 4 2 4 2 2 2 3" xfId="5099" xr:uid="{00000000-0005-0000-0000-00003C0F0000}"/>
    <cellStyle name="Normal 2 4 2 4 2 2 2 3 2" xfId="13541" xr:uid="{2C3BC440-A486-4F94-B352-8ED653616667}"/>
    <cellStyle name="Normal 2 4 2 4 2 2 2 4" xfId="9323" xr:uid="{DD11A808-B551-4826-B30C-DAA457AC1CB3}"/>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64CB5372-5FBD-47FD-8082-E7CA909080D3}"/>
    <cellStyle name="Normal 2 4 2 4 2 2 3 2 3" xfId="11881" xr:uid="{1444978B-81A9-4997-9FD9-B5090ED17FA4}"/>
    <cellStyle name="Normal 2 4 2 4 2 2 3 3" xfId="5512" xr:uid="{00000000-0005-0000-0000-0000400F0000}"/>
    <cellStyle name="Normal 2 4 2 4 2 2 3 3 2" xfId="13954" xr:uid="{5DF3AAA3-798E-46B9-8643-F15F8CCE0F97}"/>
    <cellStyle name="Normal 2 4 2 4 2 2 3 4" xfId="9736" xr:uid="{A760042C-57FD-4C6B-8983-CA9558A1CE02}"/>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BEDD3328-4BC1-4C40-8AA2-AF2D64F28138}"/>
    <cellStyle name="Normal 2 4 2 4 2 2 4 2 3" xfId="12294" xr:uid="{F7FEAF84-058D-4418-A9D4-4CF4D3187EAB}"/>
    <cellStyle name="Normal 2 4 2 4 2 2 4 3" xfId="5925" xr:uid="{00000000-0005-0000-0000-0000440F0000}"/>
    <cellStyle name="Normal 2 4 2 4 2 2 4 3 2" xfId="14367" xr:uid="{77556657-7261-4E40-A6C7-29F488D84837}"/>
    <cellStyle name="Normal 2 4 2 4 2 2 4 4" xfId="10149" xr:uid="{4E6C2959-2EC0-48A6-87CC-17CE81AF2D59}"/>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72C69D9B-F74C-4D7E-9A2F-425ECB839AF7}"/>
    <cellStyle name="Normal 2 4 2 4 2 2 5 2 3" xfId="12707" xr:uid="{541821E5-280C-41B6-898A-60A7190C690C}"/>
    <cellStyle name="Normal 2 4 2 4 2 2 5 3" xfId="6338" xr:uid="{00000000-0005-0000-0000-0000480F0000}"/>
    <cellStyle name="Normal 2 4 2 4 2 2 5 3 2" xfId="14780" xr:uid="{89EDE9C0-A77E-4AC0-9EED-E5249DB11469}"/>
    <cellStyle name="Normal 2 4 2 4 2 2 5 4" xfId="10562" xr:uid="{14B26943-7A6E-4AEC-9B03-1FD7A42C71A5}"/>
    <cellStyle name="Normal 2 4 2 4 2 2 6" xfId="2467" xr:uid="{00000000-0005-0000-0000-0000490F0000}"/>
    <cellStyle name="Normal 2 4 2 4 2 2 6 2" xfId="6751" xr:uid="{00000000-0005-0000-0000-00004A0F0000}"/>
    <cellStyle name="Normal 2 4 2 4 2 2 6 2 2" xfId="15193" xr:uid="{6E9F456A-B1F6-430D-A1BF-C2147D865E5A}"/>
    <cellStyle name="Normal 2 4 2 4 2 2 6 3" xfId="10975" xr:uid="{53824991-F75F-4D03-9B7C-952389F2CE82}"/>
    <cellStyle name="Normal 2 4 2 4 2 2 7" xfId="4685" xr:uid="{00000000-0005-0000-0000-00004B0F0000}"/>
    <cellStyle name="Normal 2 4 2 4 2 2 7 2" xfId="13127" xr:uid="{F4229702-61D7-4548-A99B-864FA9AA4CD1}"/>
    <cellStyle name="Normal 2 4 2 4 2 2 8" xfId="8909" xr:uid="{E6443D38-F312-43D0-A3F2-3F878BE42044}"/>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AD7F87E5-0F33-48DA-9A01-BF8BC9A85602}"/>
    <cellStyle name="Normal 2 4 2 4 2 3 2 3" xfId="11467" xr:uid="{92D17851-C32A-4C02-8D89-308C90132076}"/>
    <cellStyle name="Normal 2 4 2 4 2 3 3" xfId="5098" xr:uid="{00000000-0005-0000-0000-00004F0F0000}"/>
    <cellStyle name="Normal 2 4 2 4 2 3 3 2" xfId="13540" xr:uid="{3AC36BA0-B3E3-4208-8A09-B17442890D57}"/>
    <cellStyle name="Normal 2 4 2 4 2 3 4" xfId="9322" xr:uid="{1D2D3C33-0A84-4A59-966B-50C12B1E5106}"/>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9DC7C701-7F0A-43E1-ABC9-1933CBD01458}"/>
    <cellStyle name="Normal 2 4 2 4 2 4 2 3" xfId="11880" xr:uid="{ABB4291A-71B8-48E6-8224-A543E0090419}"/>
    <cellStyle name="Normal 2 4 2 4 2 4 3" xfId="5511" xr:uid="{00000000-0005-0000-0000-0000530F0000}"/>
    <cellStyle name="Normal 2 4 2 4 2 4 3 2" xfId="13953" xr:uid="{3B6D413B-28C9-49F3-8B5E-1C15A1369101}"/>
    <cellStyle name="Normal 2 4 2 4 2 4 4" xfId="9735" xr:uid="{CDA18BAD-B498-414C-8A66-188D23D43EAC}"/>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B44E3B0D-C5AE-432F-B2DA-43E73648F1FB}"/>
    <cellStyle name="Normal 2 4 2 4 2 5 2 3" xfId="12293" xr:uid="{0A43BBD4-6101-438B-889D-41C2472F70C1}"/>
    <cellStyle name="Normal 2 4 2 4 2 5 3" xfId="5924" xr:uid="{00000000-0005-0000-0000-0000570F0000}"/>
    <cellStyle name="Normal 2 4 2 4 2 5 3 2" xfId="14366" xr:uid="{1956379D-B39E-4FF5-B6C3-5BBEEC28A370}"/>
    <cellStyle name="Normal 2 4 2 4 2 5 4" xfId="10148" xr:uid="{60C41DFD-CEB4-4362-8116-065C4AAB79EF}"/>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4DB1BDBE-5ABD-4706-ACC6-9C155C42E021}"/>
    <cellStyle name="Normal 2 4 2 4 2 6 2 3" xfId="12706" xr:uid="{3B24C826-270C-4244-B4E5-177AB4A4AC39}"/>
    <cellStyle name="Normal 2 4 2 4 2 6 3" xfId="6337" xr:uid="{00000000-0005-0000-0000-00005B0F0000}"/>
    <cellStyle name="Normal 2 4 2 4 2 6 3 2" xfId="14779" xr:uid="{5C8AF239-C662-40C1-8D4E-F59B099699E0}"/>
    <cellStyle name="Normal 2 4 2 4 2 6 4" xfId="10561" xr:uid="{ED039376-D9E6-4766-AFA6-44EDFCDB5C85}"/>
    <cellStyle name="Normal 2 4 2 4 2 7" xfId="2466" xr:uid="{00000000-0005-0000-0000-00005C0F0000}"/>
    <cellStyle name="Normal 2 4 2 4 2 7 2" xfId="6750" xr:uid="{00000000-0005-0000-0000-00005D0F0000}"/>
    <cellStyle name="Normal 2 4 2 4 2 7 2 2" xfId="15192" xr:uid="{D95F9BA0-A712-4DCA-8BB6-57B958C1E765}"/>
    <cellStyle name="Normal 2 4 2 4 2 7 3" xfId="10974" xr:uid="{305C641C-809B-466C-87AE-A7031CA198C3}"/>
    <cellStyle name="Normal 2 4 2 4 2 8" xfId="4684" xr:uid="{00000000-0005-0000-0000-00005E0F0000}"/>
    <cellStyle name="Normal 2 4 2 4 2 8 2" xfId="13126" xr:uid="{AABA4E8C-51CB-41F8-908A-16DDB377D486}"/>
    <cellStyle name="Normal 2 4 2 4 2 9" xfId="8908" xr:uid="{03FE55E5-EC24-4959-B474-8F7274C58B9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E2C69C09-4F13-4556-8B60-87AB09D5B5C0}"/>
    <cellStyle name="Normal 2 4 2 4 3 2 2 3" xfId="11469" xr:uid="{BD863261-51A7-46B1-A4AB-6ECA83935951}"/>
    <cellStyle name="Normal 2 4 2 4 3 2 3" xfId="5100" xr:uid="{00000000-0005-0000-0000-0000630F0000}"/>
    <cellStyle name="Normal 2 4 2 4 3 2 3 2" xfId="13542" xr:uid="{54415B46-8EB6-4101-8D11-0CA8EF69EF4D}"/>
    <cellStyle name="Normal 2 4 2 4 3 2 4" xfId="9324" xr:uid="{7B3B8A43-2607-498C-AF2B-ED624C3C44B1}"/>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85B434D5-571C-4066-9247-36C36BE356CB}"/>
    <cellStyle name="Normal 2 4 2 4 3 3 2 3" xfId="11882" xr:uid="{2763C3DF-A304-47FA-A30A-F6388AA594E4}"/>
    <cellStyle name="Normal 2 4 2 4 3 3 3" xfId="5513" xr:uid="{00000000-0005-0000-0000-0000670F0000}"/>
    <cellStyle name="Normal 2 4 2 4 3 3 3 2" xfId="13955" xr:uid="{653EFDCD-7AB1-447E-98FD-55EF0B388CFC}"/>
    <cellStyle name="Normal 2 4 2 4 3 3 4" xfId="9737" xr:uid="{CDA6DED2-882F-45AE-86F3-42506406EFDB}"/>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B14D5BDA-C1A1-4546-81F1-AA9DE00EE521}"/>
    <cellStyle name="Normal 2 4 2 4 3 4 2 3" xfId="12295" xr:uid="{96225FA3-20FE-47E5-8F54-C763E9A586F2}"/>
    <cellStyle name="Normal 2 4 2 4 3 4 3" xfId="5926" xr:uid="{00000000-0005-0000-0000-00006B0F0000}"/>
    <cellStyle name="Normal 2 4 2 4 3 4 3 2" xfId="14368" xr:uid="{53A99344-045C-403B-9BCA-548282CB0656}"/>
    <cellStyle name="Normal 2 4 2 4 3 4 4" xfId="10150" xr:uid="{9FC33B7C-C622-4FFE-9E49-C4E5EC4643C7}"/>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E21458EA-43AE-4D07-909A-939F4A69425B}"/>
    <cellStyle name="Normal 2 4 2 4 3 5 2 3" xfId="12708" xr:uid="{DB33182C-C9F5-4D68-B09C-2229345F1E66}"/>
    <cellStyle name="Normal 2 4 2 4 3 5 3" xfId="6339" xr:uid="{00000000-0005-0000-0000-00006F0F0000}"/>
    <cellStyle name="Normal 2 4 2 4 3 5 3 2" xfId="14781" xr:uid="{BAEC18AA-C612-4F1C-BE6F-7CF4062FB42C}"/>
    <cellStyle name="Normal 2 4 2 4 3 5 4" xfId="10563" xr:uid="{27C84E7E-ABF3-4AE1-A51B-5AE9E9DFC9B1}"/>
    <cellStyle name="Normal 2 4 2 4 3 6" xfId="2468" xr:uid="{00000000-0005-0000-0000-0000700F0000}"/>
    <cellStyle name="Normal 2 4 2 4 3 6 2" xfId="6752" xr:uid="{00000000-0005-0000-0000-0000710F0000}"/>
    <cellStyle name="Normal 2 4 2 4 3 6 2 2" xfId="15194" xr:uid="{D6775D07-C308-4AE9-ABBB-D536C0FB44B4}"/>
    <cellStyle name="Normal 2 4 2 4 3 6 3" xfId="10976" xr:uid="{98D5D95D-2544-4F59-86C8-7A3BA34B67AA}"/>
    <cellStyle name="Normal 2 4 2 4 3 7" xfId="4686" xr:uid="{00000000-0005-0000-0000-0000720F0000}"/>
    <cellStyle name="Normal 2 4 2 4 3 7 2" xfId="13128" xr:uid="{EB7DF5FC-970B-44C8-8844-8021DF1DBC4C}"/>
    <cellStyle name="Normal 2 4 2 4 3 8" xfId="8910" xr:uid="{8743770B-3428-44F9-9E89-D7BC0FB1E581}"/>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D1FB6D34-F9C4-42EF-BD20-0DDC5341293C}"/>
    <cellStyle name="Normal 2 4 2 4 4 2 3" xfId="11466" xr:uid="{45B1DA6F-8A7A-4FC0-8E66-3943E7E521E3}"/>
    <cellStyle name="Normal 2 4 2 4 4 3" xfId="5097" xr:uid="{00000000-0005-0000-0000-0000760F0000}"/>
    <cellStyle name="Normal 2 4 2 4 4 3 2" xfId="13539" xr:uid="{D9AFD217-8EF9-4C0B-BC84-CA521A4989A0}"/>
    <cellStyle name="Normal 2 4 2 4 4 4" xfId="9321" xr:uid="{DE2894B1-8398-48A4-8D05-7515A87D134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AFD1A6DC-3187-4610-9ECB-BFA21BDA75F2}"/>
    <cellStyle name="Normal 2 4 2 4 5 2 3" xfId="11879" xr:uid="{64CF8ED7-9F9E-4E27-BE6F-EDA0FB0E9427}"/>
    <cellStyle name="Normal 2 4 2 4 5 3" xfId="5510" xr:uid="{00000000-0005-0000-0000-00007A0F0000}"/>
    <cellStyle name="Normal 2 4 2 4 5 3 2" xfId="13952" xr:uid="{EA99A740-A783-4EB9-BB96-5D93B09CF506}"/>
    <cellStyle name="Normal 2 4 2 4 5 4" xfId="9734" xr:uid="{F6AABBB8-D1D1-413B-B25A-C38A606D138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F462738A-AF94-442D-9C4C-021A6FD74BA2}"/>
    <cellStyle name="Normal 2 4 2 4 6 2 3" xfId="12292" xr:uid="{B47F2FC1-D6C0-447A-A4B7-E69C0C7BF5DA}"/>
    <cellStyle name="Normal 2 4 2 4 6 3" xfId="5923" xr:uid="{00000000-0005-0000-0000-00007E0F0000}"/>
    <cellStyle name="Normal 2 4 2 4 6 3 2" xfId="14365" xr:uid="{C3F6EBEC-192F-43DB-A2E9-88688F4BC8E4}"/>
    <cellStyle name="Normal 2 4 2 4 6 4" xfId="10147" xr:uid="{31E6CF9F-90E4-4F0B-A578-20718E8CE3E4}"/>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F27E7388-8933-47A0-8BFB-C4069C0B8E28}"/>
    <cellStyle name="Normal 2 4 2 4 7 2 3" xfId="12705" xr:uid="{4D345FCE-9906-4F7C-AE5D-9E8DBCBA97C5}"/>
    <cellStyle name="Normal 2 4 2 4 7 3" xfId="6336" xr:uid="{00000000-0005-0000-0000-0000820F0000}"/>
    <cellStyle name="Normal 2 4 2 4 7 3 2" xfId="14778" xr:uid="{FC4208C8-82D6-4F96-A03F-73D36C958B02}"/>
    <cellStyle name="Normal 2 4 2 4 7 4" xfId="10560" xr:uid="{3BFC421D-10EE-4B7C-9F45-A7140BE65D06}"/>
    <cellStyle name="Normal 2 4 2 4 8" xfId="2465" xr:uid="{00000000-0005-0000-0000-0000830F0000}"/>
    <cellStyle name="Normal 2 4 2 4 8 2" xfId="6749" xr:uid="{00000000-0005-0000-0000-0000840F0000}"/>
    <cellStyle name="Normal 2 4 2 4 8 2 2" xfId="15191" xr:uid="{2E994F33-19F6-4DB5-8966-2780ACBF6357}"/>
    <cellStyle name="Normal 2 4 2 4 8 3" xfId="10973" xr:uid="{55709336-0EF5-4DD1-8828-03613E712BA3}"/>
    <cellStyle name="Normal 2 4 2 4 9" xfId="4683" xr:uid="{00000000-0005-0000-0000-0000850F0000}"/>
    <cellStyle name="Normal 2 4 2 4 9 2" xfId="13125" xr:uid="{F2F5AF6D-C6BC-43A2-8F37-3583ECEE97E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774D1665-FA2C-4259-8DC5-648EFD0CE0F0}"/>
    <cellStyle name="Normal 2 4 2 5 2 2 2 3" xfId="11471" xr:uid="{47CAA729-53D3-48DF-89EA-2474DD04F50C}"/>
    <cellStyle name="Normal 2 4 2 5 2 2 3" xfId="5102" xr:uid="{00000000-0005-0000-0000-00008B0F0000}"/>
    <cellStyle name="Normal 2 4 2 5 2 2 3 2" xfId="13544" xr:uid="{0CB8E872-3EF1-43C0-88D7-20C6A67B07AF}"/>
    <cellStyle name="Normal 2 4 2 5 2 2 4" xfId="9326" xr:uid="{5EE12CE2-09F0-46E6-A6C3-33928AF9B132}"/>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6A3D8080-8FCB-491B-AB2A-FD31750EC49D}"/>
    <cellStyle name="Normal 2 4 2 5 2 3 2 3" xfId="11884" xr:uid="{A0697E1E-09CB-45E5-AB7E-75F725AF1F20}"/>
    <cellStyle name="Normal 2 4 2 5 2 3 3" xfId="5515" xr:uid="{00000000-0005-0000-0000-00008F0F0000}"/>
    <cellStyle name="Normal 2 4 2 5 2 3 3 2" xfId="13957" xr:uid="{3F814B79-CB78-498B-895B-71F4546A7502}"/>
    <cellStyle name="Normal 2 4 2 5 2 3 4" xfId="9739" xr:uid="{34A480F7-9713-47B6-A787-5D094C201FA5}"/>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CC9FBCCA-72F5-41D8-A960-9882F0329397}"/>
    <cellStyle name="Normal 2 4 2 5 2 4 2 3" xfId="12297" xr:uid="{32B5223F-CB83-4B76-8895-04706FE2A9B1}"/>
    <cellStyle name="Normal 2 4 2 5 2 4 3" xfId="5928" xr:uid="{00000000-0005-0000-0000-0000930F0000}"/>
    <cellStyle name="Normal 2 4 2 5 2 4 3 2" xfId="14370" xr:uid="{D75ED664-F6BE-4C8F-864E-5785CA9418E9}"/>
    <cellStyle name="Normal 2 4 2 5 2 4 4" xfId="10152" xr:uid="{CC527B83-F5AC-4349-9C68-D9E5BD2C9B4E}"/>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5D9D1311-FA76-41A1-9C2C-A0B036AC51DF}"/>
    <cellStyle name="Normal 2 4 2 5 2 5 2 3" xfId="12710" xr:uid="{FEB56D4A-E421-4EF3-8A9D-00A0C92D2BAA}"/>
    <cellStyle name="Normal 2 4 2 5 2 5 3" xfId="6341" xr:uid="{00000000-0005-0000-0000-0000970F0000}"/>
    <cellStyle name="Normal 2 4 2 5 2 5 3 2" xfId="14783" xr:uid="{DA01E209-CA50-4542-A685-DAA58EB0C0C4}"/>
    <cellStyle name="Normal 2 4 2 5 2 5 4" xfId="10565" xr:uid="{4F6D27C0-074F-48C8-95A4-B517119B3C07}"/>
    <cellStyle name="Normal 2 4 2 5 2 6" xfId="2470" xr:uid="{00000000-0005-0000-0000-0000980F0000}"/>
    <cellStyle name="Normal 2 4 2 5 2 6 2" xfId="6754" xr:uid="{00000000-0005-0000-0000-0000990F0000}"/>
    <cellStyle name="Normal 2 4 2 5 2 6 2 2" xfId="15196" xr:uid="{16237EDC-3A49-474A-9D83-B02CFC2BA9F3}"/>
    <cellStyle name="Normal 2 4 2 5 2 6 3" xfId="10978" xr:uid="{8AA2CE99-8CCB-491C-A032-91DD2B5284CA}"/>
    <cellStyle name="Normal 2 4 2 5 2 7" xfId="4688" xr:uid="{00000000-0005-0000-0000-00009A0F0000}"/>
    <cellStyle name="Normal 2 4 2 5 2 7 2" xfId="13130" xr:uid="{31229610-F428-4A3A-9414-C873087718B4}"/>
    <cellStyle name="Normal 2 4 2 5 2 8" xfId="8912" xr:uid="{FD1B0494-299F-43EB-ACC3-3844DC11B13E}"/>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4AEBC95C-4F3F-4286-AFFA-C787AB8F9EEC}"/>
    <cellStyle name="Normal 2 4 2 5 3 2 3" xfId="11470" xr:uid="{4E997129-D091-49A2-A3E8-B5362373688F}"/>
    <cellStyle name="Normal 2 4 2 5 3 3" xfId="5101" xr:uid="{00000000-0005-0000-0000-00009E0F0000}"/>
    <cellStyle name="Normal 2 4 2 5 3 3 2" xfId="13543" xr:uid="{A719F42F-3445-40D4-B1A4-D66A9F3B87D7}"/>
    <cellStyle name="Normal 2 4 2 5 3 4" xfId="9325" xr:uid="{7CFE3C10-DE75-4CC1-9621-D3F27ABC08E9}"/>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30D956CD-1FBD-48C2-9D6C-717B7FF0263B}"/>
    <cellStyle name="Normal 2 4 2 5 4 2 3" xfId="11883" xr:uid="{6C013A5C-8D13-4FDA-8C4C-BE9872BB7218}"/>
    <cellStyle name="Normal 2 4 2 5 4 3" xfId="5514" xr:uid="{00000000-0005-0000-0000-0000A20F0000}"/>
    <cellStyle name="Normal 2 4 2 5 4 3 2" xfId="13956" xr:uid="{5A808D68-9801-41CD-A5E3-25A7AA5FA5B5}"/>
    <cellStyle name="Normal 2 4 2 5 4 4" xfId="9738" xr:uid="{16F3F4BA-237F-4ACC-BB37-61A3FF6E7798}"/>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9BA4133B-1BB3-4347-998A-D15841E95F6B}"/>
    <cellStyle name="Normal 2 4 2 5 5 2 3" xfId="12296" xr:uid="{08A4B71B-D1D1-465D-AC1D-A92622D0B9BD}"/>
    <cellStyle name="Normal 2 4 2 5 5 3" xfId="5927" xr:uid="{00000000-0005-0000-0000-0000A60F0000}"/>
    <cellStyle name="Normal 2 4 2 5 5 3 2" xfId="14369" xr:uid="{75D5696B-6144-4D60-8615-927FF2E4A84F}"/>
    <cellStyle name="Normal 2 4 2 5 5 4" xfId="10151" xr:uid="{52FADF78-9DB7-4BB5-9613-E263B73CA0D8}"/>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D6F616BF-35B6-41F0-A8AB-0B04459EF219}"/>
    <cellStyle name="Normal 2 4 2 5 6 2 3" xfId="12709" xr:uid="{359EAC1A-4845-4EB6-8B11-33F172DD0D69}"/>
    <cellStyle name="Normal 2 4 2 5 6 3" xfId="6340" xr:uid="{00000000-0005-0000-0000-0000AA0F0000}"/>
    <cellStyle name="Normal 2 4 2 5 6 3 2" xfId="14782" xr:uid="{7E777675-D318-4F11-9E96-5B692DD814A8}"/>
    <cellStyle name="Normal 2 4 2 5 6 4" xfId="10564" xr:uid="{48633D43-BDAD-4546-B890-37206DF6E755}"/>
    <cellStyle name="Normal 2 4 2 5 7" xfId="2469" xr:uid="{00000000-0005-0000-0000-0000AB0F0000}"/>
    <cellStyle name="Normal 2 4 2 5 7 2" xfId="6753" xr:uid="{00000000-0005-0000-0000-0000AC0F0000}"/>
    <cellStyle name="Normal 2 4 2 5 7 2 2" xfId="15195" xr:uid="{DB5640F9-118B-4A72-BCFE-629D6A462AC9}"/>
    <cellStyle name="Normal 2 4 2 5 7 3" xfId="10977" xr:uid="{1EDA0DA3-EF60-44CB-A557-7038FA5AA8FA}"/>
    <cellStyle name="Normal 2 4 2 5 8" xfId="4687" xr:uid="{00000000-0005-0000-0000-0000AD0F0000}"/>
    <cellStyle name="Normal 2 4 2 5 8 2" xfId="13129" xr:uid="{13336654-3650-44CC-BE46-0A9B4899FC55}"/>
    <cellStyle name="Normal 2 4 2 5 9" xfId="8911" xr:uid="{3234960F-DF7F-4476-B205-0F8A3DACF5BA}"/>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5CC18292-6EA7-4EC9-B5FD-592A90AF074B}"/>
    <cellStyle name="Normal 2 4 2 6 2 2 3" xfId="11472" xr:uid="{F6B2840A-9F98-4581-930F-A95F5DF28FFD}"/>
    <cellStyle name="Normal 2 4 2 6 2 3" xfId="5103" xr:uid="{00000000-0005-0000-0000-0000B20F0000}"/>
    <cellStyle name="Normal 2 4 2 6 2 3 2" xfId="13545" xr:uid="{D4833A96-ADFA-4776-9A1F-7EE0F6380DD4}"/>
    <cellStyle name="Normal 2 4 2 6 2 4" xfId="9327" xr:uid="{673EED99-C1C4-43B5-B72B-FD325076B5C1}"/>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CD5CDCAF-D77B-402A-9E54-0EDF950C5BC4}"/>
    <cellStyle name="Normal 2 4 2 6 3 2 3" xfId="11885" xr:uid="{336FBD98-33FC-4104-90AC-CDDE5DA0FACA}"/>
    <cellStyle name="Normal 2 4 2 6 3 3" xfId="5516" xr:uid="{00000000-0005-0000-0000-0000B60F0000}"/>
    <cellStyle name="Normal 2 4 2 6 3 3 2" xfId="13958" xr:uid="{3D246C3A-C306-4611-BF6E-D450BD645552}"/>
    <cellStyle name="Normal 2 4 2 6 3 4" xfId="9740" xr:uid="{369B02CE-DC70-4926-BDED-32843364EDA8}"/>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04D1570B-66A3-4EB7-A569-9D667F7F820E}"/>
    <cellStyle name="Normal 2 4 2 6 4 2 3" xfId="12298" xr:uid="{C299AF2C-B4A2-4CDA-9955-0956FC678C1A}"/>
    <cellStyle name="Normal 2 4 2 6 4 3" xfId="5929" xr:uid="{00000000-0005-0000-0000-0000BA0F0000}"/>
    <cellStyle name="Normal 2 4 2 6 4 3 2" xfId="14371" xr:uid="{427CF197-7247-4EEA-9B2F-0ED59FF907B5}"/>
    <cellStyle name="Normal 2 4 2 6 4 4" xfId="10153" xr:uid="{F3A30F64-0BE5-4A1F-A07F-0DEF268D948C}"/>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4DE565FA-7A5D-47DB-B563-ABAAA165D128}"/>
    <cellStyle name="Normal 2 4 2 6 5 2 3" xfId="12711" xr:uid="{BDFC9DCA-EB3F-4949-981B-F6D95F6AE925}"/>
    <cellStyle name="Normal 2 4 2 6 5 3" xfId="6342" xr:uid="{00000000-0005-0000-0000-0000BE0F0000}"/>
    <cellStyle name="Normal 2 4 2 6 5 3 2" xfId="14784" xr:uid="{347E9CBC-075D-4571-83D7-62C177CCF482}"/>
    <cellStyle name="Normal 2 4 2 6 5 4" xfId="10566" xr:uid="{C321CB34-5C72-4C17-841D-841E6D432E11}"/>
    <cellStyle name="Normal 2 4 2 6 6" xfId="2471" xr:uid="{00000000-0005-0000-0000-0000BF0F0000}"/>
    <cellStyle name="Normal 2 4 2 6 6 2" xfId="6755" xr:uid="{00000000-0005-0000-0000-0000C00F0000}"/>
    <cellStyle name="Normal 2 4 2 6 6 2 2" xfId="15197" xr:uid="{C124B901-C873-4EE5-BD31-739226E7541B}"/>
    <cellStyle name="Normal 2 4 2 6 6 3" xfId="10979" xr:uid="{B5B1BF25-F6FB-43F3-AA63-7B506598780A}"/>
    <cellStyle name="Normal 2 4 2 6 7" xfId="4689" xr:uid="{00000000-0005-0000-0000-0000C10F0000}"/>
    <cellStyle name="Normal 2 4 2 6 7 2" xfId="13131" xr:uid="{C585A1B4-AE34-4C31-8D80-D514B63C634F}"/>
    <cellStyle name="Normal 2 4 2 6 8" xfId="8913" xr:uid="{CC0B2914-B68C-4B27-AAF5-AE4E7A686DE1}"/>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F95110D3-FA98-4855-8A86-2CFD9A4AC6C7}"/>
    <cellStyle name="Normal 2 4 2 7 2 3" xfId="11457" xr:uid="{4B28B9E7-863E-4B42-A357-DC3F951A64E5}"/>
    <cellStyle name="Normal 2 4 2 7 3" xfId="5088" xr:uid="{00000000-0005-0000-0000-0000C50F0000}"/>
    <cellStyle name="Normal 2 4 2 7 3 2" xfId="13530" xr:uid="{F87C182E-2735-431E-A365-951C0F57C156}"/>
    <cellStyle name="Normal 2 4 2 7 4" xfId="9312" xr:uid="{807902D7-EFE5-42D3-A300-5A13FB462645}"/>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D91C2AC8-1587-43A1-A68A-C54531E811BF}"/>
    <cellStyle name="Normal 2 4 2 8 2 3" xfId="11870" xr:uid="{DE713033-E0BC-4DDD-8FC9-F7EBD7331D91}"/>
    <cellStyle name="Normal 2 4 2 8 3" xfId="5501" xr:uid="{00000000-0005-0000-0000-0000C90F0000}"/>
    <cellStyle name="Normal 2 4 2 8 3 2" xfId="13943" xr:uid="{BABDC8A0-1402-438D-9A95-E7E3EDB4C08D}"/>
    <cellStyle name="Normal 2 4 2 8 4" xfId="9725" xr:uid="{1BA962B7-FFD9-498F-8731-B17A422ACB85}"/>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9AC1886B-0E6F-4D0C-888F-F97186051BFB}"/>
    <cellStyle name="Normal 2 4 2 9 2 3" xfId="12283" xr:uid="{A06A2B01-32EB-4603-8A9B-F6B24554385F}"/>
    <cellStyle name="Normal 2 4 2 9 3" xfId="5914" xr:uid="{00000000-0005-0000-0000-0000CD0F0000}"/>
    <cellStyle name="Normal 2 4 2 9 3 2" xfId="14356" xr:uid="{D33255CD-59A0-444B-AF68-1C5E708B123D}"/>
    <cellStyle name="Normal 2 4 2 9 4" xfId="10138" xr:uid="{BCE05AA0-D5E8-450E-B211-88846052974D}"/>
    <cellStyle name="Normal 2 4 3" xfId="296" xr:uid="{00000000-0005-0000-0000-0000CE0F0000}"/>
    <cellStyle name="Normal 2 4 3 10" xfId="8914" xr:uid="{E3185883-EC47-4F0D-B9A8-935012B5C7DD}"/>
    <cellStyle name="Normal 2 4 3 2" xfId="297" xr:uid="{00000000-0005-0000-0000-0000CF0F0000}"/>
    <cellStyle name="Normal 2 4 3 3" xfId="298" xr:uid="{00000000-0005-0000-0000-0000D00F0000}"/>
    <cellStyle name="Normal 2 4 3 3 10" xfId="8915" xr:uid="{E6D4ADE6-F6A7-48D2-BB8F-A1874719B62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3BCC8513-68E8-4AB9-80B0-A354C50A97C4}"/>
    <cellStyle name="Normal 2 4 3 3 2 2 2 2 3" xfId="11476" xr:uid="{C3C89050-F3C3-4BA2-9E36-8E388BECC097}"/>
    <cellStyle name="Normal 2 4 3 3 2 2 2 3" xfId="5107" xr:uid="{00000000-0005-0000-0000-0000D60F0000}"/>
    <cellStyle name="Normal 2 4 3 3 2 2 2 3 2" xfId="13549" xr:uid="{55E96191-5700-4829-8ED2-7C3E6CA8F5BA}"/>
    <cellStyle name="Normal 2 4 3 3 2 2 2 4" xfId="9331" xr:uid="{112BEFE2-F2B4-4F73-B937-46CF60FC5FFC}"/>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2763396D-D79C-4787-BA5C-2FC4D58CAFEB}"/>
    <cellStyle name="Normal 2 4 3 3 2 2 3 2 3" xfId="11889" xr:uid="{57AE33C1-7C70-4FA7-A436-A44F27A30220}"/>
    <cellStyle name="Normal 2 4 3 3 2 2 3 3" xfId="5520" xr:uid="{00000000-0005-0000-0000-0000DA0F0000}"/>
    <cellStyle name="Normal 2 4 3 3 2 2 3 3 2" xfId="13962" xr:uid="{72FEB097-B861-428B-A091-3EE8AD7164F9}"/>
    <cellStyle name="Normal 2 4 3 3 2 2 3 4" xfId="9744" xr:uid="{CD7C49A4-A20C-4053-83FD-D56D024EF62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0E4F3EEC-751B-4348-B02F-FDE49A595081}"/>
    <cellStyle name="Normal 2 4 3 3 2 2 4 2 3" xfId="12302" xr:uid="{F20C4B48-8BDB-4411-959F-5D99F84AD286}"/>
    <cellStyle name="Normal 2 4 3 3 2 2 4 3" xfId="5933" xr:uid="{00000000-0005-0000-0000-0000DE0F0000}"/>
    <cellStyle name="Normal 2 4 3 3 2 2 4 3 2" xfId="14375" xr:uid="{79E443F0-7AD3-4C3B-98D5-B256BE0399C6}"/>
    <cellStyle name="Normal 2 4 3 3 2 2 4 4" xfId="10157" xr:uid="{587582E3-4D81-4095-A682-CA2759D99D74}"/>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08C33F7B-8DB1-4AED-B612-9C09C043E60D}"/>
    <cellStyle name="Normal 2 4 3 3 2 2 5 2 3" xfId="12715" xr:uid="{CAE65125-E827-4B46-93E7-87965EA1A49E}"/>
    <cellStyle name="Normal 2 4 3 3 2 2 5 3" xfId="6346" xr:uid="{00000000-0005-0000-0000-0000E20F0000}"/>
    <cellStyle name="Normal 2 4 3 3 2 2 5 3 2" xfId="14788" xr:uid="{7711EA15-0F1E-4D09-8943-3BBB4B722FFF}"/>
    <cellStyle name="Normal 2 4 3 3 2 2 5 4" xfId="10570" xr:uid="{DF215A4D-C23D-4139-8B31-28127F70130D}"/>
    <cellStyle name="Normal 2 4 3 3 2 2 6" xfId="2475" xr:uid="{00000000-0005-0000-0000-0000E30F0000}"/>
    <cellStyle name="Normal 2 4 3 3 2 2 6 2" xfId="6759" xr:uid="{00000000-0005-0000-0000-0000E40F0000}"/>
    <cellStyle name="Normal 2 4 3 3 2 2 6 2 2" xfId="15201" xr:uid="{A3E90A73-034B-47D2-8452-A595A2BD4553}"/>
    <cellStyle name="Normal 2 4 3 3 2 2 6 3" xfId="10983" xr:uid="{F49F49EA-9176-4117-BCD8-D8CAA712E3F2}"/>
    <cellStyle name="Normal 2 4 3 3 2 2 7" xfId="4693" xr:uid="{00000000-0005-0000-0000-0000E50F0000}"/>
    <cellStyle name="Normal 2 4 3 3 2 2 7 2" xfId="13135" xr:uid="{DEE81AA0-F8BB-43DF-B793-1F9E9DCEAFC7}"/>
    <cellStyle name="Normal 2 4 3 3 2 2 8" xfId="8917" xr:uid="{8565DBA9-895E-4DE4-9064-08C360A82B23}"/>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0B771BAC-D83E-4067-84FF-028DEF8507AA}"/>
    <cellStyle name="Normal 2 4 3 3 2 3 2 3" xfId="11475" xr:uid="{0DEC3D6F-B236-48CA-A08D-E024AB198FAB}"/>
    <cellStyle name="Normal 2 4 3 3 2 3 3" xfId="5106" xr:uid="{00000000-0005-0000-0000-0000E90F0000}"/>
    <cellStyle name="Normal 2 4 3 3 2 3 3 2" xfId="13548" xr:uid="{2BECD4D7-D056-4AAC-9ADB-46B733B766D8}"/>
    <cellStyle name="Normal 2 4 3 3 2 3 4" xfId="9330" xr:uid="{47014139-9F42-46BF-8BC4-E8A2C4CB5669}"/>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96100799-C2B8-4CB7-9DE4-6D48525E8F9F}"/>
    <cellStyle name="Normal 2 4 3 3 2 4 2 3" xfId="11888" xr:uid="{F3AA1655-8B9C-4D5B-9220-36606F9E89FA}"/>
    <cellStyle name="Normal 2 4 3 3 2 4 3" xfId="5519" xr:uid="{00000000-0005-0000-0000-0000ED0F0000}"/>
    <cellStyle name="Normal 2 4 3 3 2 4 3 2" xfId="13961" xr:uid="{D4673463-3DC1-418C-925A-51558C0F231F}"/>
    <cellStyle name="Normal 2 4 3 3 2 4 4" xfId="9743" xr:uid="{06AB506B-24BB-41FF-A9FD-F33EB5DB705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004209C8-1BF2-4087-9829-312F404C80B3}"/>
    <cellStyle name="Normal 2 4 3 3 2 5 2 3" xfId="12301" xr:uid="{5160B81F-B19B-4566-85DD-28D9C39E92D9}"/>
    <cellStyle name="Normal 2 4 3 3 2 5 3" xfId="5932" xr:uid="{00000000-0005-0000-0000-0000F10F0000}"/>
    <cellStyle name="Normal 2 4 3 3 2 5 3 2" xfId="14374" xr:uid="{51919788-70B2-4677-B00D-B72D9E6A19C3}"/>
    <cellStyle name="Normal 2 4 3 3 2 5 4" xfId="10156" xr:uid="{792368CC-4687-49E8-9D65-302EE3BA06F3}"/>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C8D0C5A4-6F00-455F-B06C-4B876218E484}"/>
    <cellStyle name="Normal 2 4 3 3 2 6 2 3" xfId="12714" xr:uid="{CFC9410F-C17A-4E71-B0EC-40F582020E81}"/>
    <cellStyle name="Normal 2 4 3 3 2 6 3" xfId="6345" xr:uid="{00000000-0005-0000-0000-0000F50F0000}"/>
    <cellStyle name="Normal 2 4 3 3 2 6 3 2" xfId="14787" xr:uid="{0521B7B2-F0EA-4CF9-9A3F-862BC35B9A83}"/>
    <cellStyle name="Normal 2 4 3 3 2 6 4" xfId="10569" xr:uid="{031DEEF3-CFCE-4187-933F-B75DEAA11E93}"/>
    <cellStyle name="Normal 2 4 3 3 2 7" xfId="2474" xr:uid="{00000000-0005-0000-0000-0000F60F0000}"/>
    <cellStyle name="Normal 2 4 3 3 2 7 2" xfId="6758" xr:uid="{00000000-0005-0000-0000-0000F70F0000}"/>
    <cellStyle name="Normal 2 4 3 3 2 7 2 2" xfId="15200" xr:uid="{17EEE3EF-AD0E-42C8-BB2B-CE525B690841}"/>
    <cellStyle name="Normal 2 4 3 3 2 7 3" xfId="10982" xr:uid="{7D6F16F1-D4C6-4CE3-9510-1449C686E48E}"/>
    <cellStyle name="Normal 2 4 3 3 2 8" xfId="4692" xr:uid="{00000000-0005-0000-0000-0000F80F0000}"/>
    <cellStyle name="Normal 2 4 3 3 2 8 2" xfId="13134" xr:uid="{4ACBE715-E4F0-4FB9-A191-1D22EB89C810}"/>
    <cellStyle name="Normal 2 4 3 3 2 9" xfId="8916" xr:uid="{F82780BE-B0BF-4B0B-8E9A-2F2E778393A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320F71D9-4193-45F6-8CCA-D22C5AE3892D}"/>
    <cellStyle name="Normal 2 4 3 3 3 2 2 3" xfId="11477" xr:uid="{1C64FC0F-55C1-4217-8BBE-CE8C13AC9B80}"/>
    <cellStyle name="Normal 2 4 3 3 3 2 3" xfId="5108" xr:uid="{00000000-0005-0000-0000-0000FD0F0000}"/>
    <cellStyle name="Normal 2 4 3 3 3 2 3 2" xfId="13550" xr:uid="{E0E98ED3-14AF-4157-BC91-AFA597F62E1A}"/>
    <cellStyle name="Normal 2 4 3 3 3 2 4" xfId="9332" xr:uid="{018C374F-E72D-4AFA-9A49-65FCA7D3F48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416E18E4-CD72-45D0-BBD6-CCBBFEB78506}"/>
    <cellStyle name="Normal 2 4 3 3 3 3 2 3" xfId="11890" xr:uid="{40799355-A503-4655-9C39-3F04E3DF01BA}"/>
    <cellStyle name="Normal 2 4 3 3 3 3 3" xfId="5521" xr:uid="{00000000-0005-0000-0000-000001100000}"/>
    <cellStyle name="Normal 2 4 3 3 3 3 3 2" xfId="13963" xr:uid="{E14CB5A9-97DE-4831-BDC8-AE7FB2D14056}"/>
    <cellStyle name="Normal 2 4 3 3 3 3 4" xfId="9745" xr:uid="{548A023E-65A9-4672-83E7-140837E7F9BC}"/>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2C1A2038-DE1B-4242-A3B7-C8A6CA6F6C6A}"/>
    <cellStyle name="Normal 2 4 3 3 3 4 2 3" xfId="12303" xr:uid="{A32D8C82-65D6-4E9A-B38C-BC3016D0CBAE}"/>
    <cellStyle name="Normal 2 4 3 3 3 4 3" xfId="5934" xr:uid="{00000000-0005-0000-0000-000005100000}"/>
    <cellStyle name="Normal 2 4 3 3 3 4 3 2" xfId="14376" xr:uid="{6220BDA0-74AE-49D9-808C-5017FD157EAB}"/>
    <cellStyle name="Normal 2 4 3 3 3 4 4" xfId="10158" xr:uid="{93C47ECE-DEE4-4DD7-80BD-6C669E888983}"/>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B1C3897-2553-4F15-99C3-0AF8024BF9C3}"/>
    <cellStyle name="Normal 2 4 3 3 3 5 2 3" xfId="12716" xr:uid="{0512D29C-BDC4-416E-810B-958B9B34E71F}"/>
    <cellStyle name="Normal 2 4 3 3 3 5 3" xfId="6347" xr:uid="{00000000-0005-0000-0000-000009100000}"/>
    <cellStyle name="Normal 2 4 3 3 3 5 3 2" xfId="14789" xr:uid="{602BDA90-2059-44E1-B83E-0E984EBA51D4}"/>
    <cellStyle name="Normal 2 4 3 3 3 5 4" xfId="10571" xr:uid="{5761C867-AFFE-4D9C-8EB9-201D3BCFEEF0}"/>
    <cellStyle name="Normal 2 4 3 3 3 6" xfId="2476" xr:uid="{00000000-0005-0000-0000-00000A100000}"/>
    <cellStyle name="Normal 2 4 3 3 3 6 2" xfId="6760" xr:uid="{00000000-0005-0000-0000-00000B100000}"/>
    <cellStyle name="Normal 2 4 3 3 3 6 2 2" xfId="15202" xr:uid="{5DFFA4B8-FDC6-4593-8C26-2C0C8D5F5C9F}"/>
    <cellStyle name="Normal 2 4 3 3 3 6 3" xfId="10984" xr:uid="{E59CF2D9-DE9C-4B04-9BD4-81BB9020B559}"/>
    <cellStyle name="Normal 2 4 3 3 3 7" xfId="4694" xr:uid="{00000000-0005-0000-0000-00000C100000}"/>
    <cellStyle name="Normal 2 4 3 3 3 7 2" xfId="13136" xr:uid="{748D3372-1D66-4C63-AC61-05623B2190AD}"/>
    <cellStyle name="Normal 2 4 3 3 3 8" xfId="8918" xr:uid="{71787DFB-5BD0-4A56-9A3D-C8D3B87375C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9C1AD256-DC41-4E3B-95E2-FF53A6391303}"/>
    <cellStyle name="Normal 2 4 3 3 4 2 3" xfId="11474" xr:uid="{35A09A94-F55D-4233-BD28-56D171E04188}"/>
    <cellStyle name="Normal 2 4 3 3 4 3" xfId="5105" xr:uid="{00000000-0005-0000-0000-000010100000}"/>
    <cellStyle name="Normal 2 4 3 3 4 3 2" xfId="13547" xr:uid="{8224EAB3-CDAE-4888-BFDD-BAB21EF9D1E0}"/>
    <cellStyle name="Normal 2 4 3 3 4 4" xfId="9329" xr:uid="{53FE3ED8-C722-4D54-B373-52EEE183C3FE}"/>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ECF69E8E-CA46-40D0-8621-728F2ACA7E23}"/>
    <cellStyle name="Normal 2 4 3 3 5 2 3" xfId="11887" xr:uid="{7A67A5A8-B893-4C90-A1D2-F55A34D8E4A7}"/>
    <cellStyle name="Normal 2 4 3 3 5 3" xfId="5518" xr:uid="{00000000-0005-0000-0000-000014100000}"/>
    <cellStyle name="Normal 2 4 3 3 5 3 2" xfId="13960" xr:uid="{599E18E8-DECA-4F52-AC81-35F1FB33FEE3}"/>
    <cellStyle name="Normal 2 4 3 3 5 4" xfId="9742" xr:uid="{6BF826F9-8EB0-4ABA-A621-57614427D53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8E7C189-71C0-44E9-8521-B628D3F0CB84}"/>
    <cellStyle name="Normal 2 4 3 3 6 2 3" xfId="12300" xr:uid="{BDBA40EE-C258-41A1-B797-D37FD5E3D313}"/>
    <cellStyle name="Normal 2 4 3 3 6 3" xfId="5931" xr:uid="{00000000-0005-0000-0000-000018100000}"/>
    <cellStyle name="Normal 2 4 3 3 6 3 2" xfId="14373" xr:uid="{26439896-9F9F-41E5-905B-F166E51742A7}"/>
    <cellStyle name="Normal 2 4 3 3 6 4" xfId="10155" xr:uid="{CDC1FFB1-3539-42C6-AE27-A4516744417A}"/>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ADA22823-18AB-4F78-B286-5F861E1B9D30}"/>
    <cellStyle name="Normal 2 4 3 3 7 2 3" xfId="12713" xr:uid="{A8C19D50-4B14-4E07-9D9E-82D992800D34}"/>
    <cellStyle name="Normal 2 4 3 3 7 3" xfId="6344" xr:uid="{00000000-0005-0000-0000-00001C100000}"/>
    <cellStyle name="Normal 2 4 3 3 7 3 2" xfId="14786" xr:uid="{488AED02-0D7F-4DE2-A210-C923DD39B30C}"/>
    <cellStyle name="Normal 2 4 3 3 7 4" xfId="10568" xr:uid="{2FE73FDA-D7D7-4F8C-BBC9-1CD960EF92B7}"/>
    <cellStyle name="Normal 2 4 3 3 8" xfId="2473" xr:uid="{00000000-0005-0000-0000-00001D100000}"/>
    <cellStyle name="Normal 2 4 3 3 8 2" xfId="6757" xr:uid="{00000000-0005-0000-0000-00001E100000}"/>
    <cellStyle name="Normal 2 4 3 3 8 2 2" xfId="15199" xr:uid="{C0022212-BA89-4989-BE5A-55E11000FD5A}"/>
    <cellStyle name="Normal 2 4 3 3 8 3" xfId="10981" xr:uid="{6EAA0E3E-EF6F-45BB-9300-7B00D6BBE35C}"/>
    <cellStyle name="Normal 2 4 3 3 9" xfId="4691" xr:uid="{00000000-0005-0000-0000-00001F100000}"/>
    <cellStyle name="Normal 2 4 3 3 9 2" xfId="13133" xr:uid="{79A3E940-F30D-4057-A474-B56B11B81F4E}"/>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D57711B1-7BF0-44F1-92CF-595B4537B3DD}"/>
    <cellStyle name="Normal 2 4 3 4 2 3" xfId="11473" xr:uid="{95174064-E174-49B7-A4D3-9D3F29FAB54E}"/>
    <cellStyle name="Normal 2 4 3 4 3" xfId="5104" xr:uid="{00000000-0005-0000-0000-000023100000}"/>
    <cellStyle name="Normal 2 4 3 4 3 2" xfId="13546" xr:uid="{EDC42581-D518-4F62-A79F-985A18F0878C}"/>
    <cellStyle name="Normal 2 4 3 4 4" xfId="9328" xr:uid="{B8A2FEC4-779C-4A6E-841B-E5997B1C47B8}"/>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489B72E1-D91A-458E-8897-8872EB841D05}"/>
    <cellStyle name="Normal 2 4 3 5 2 3" xfId="11886" xr:uid="{6B0A5FAF-CDB1-469C-BEBC-392BBBD041E7}"/>
    <cellStyle name="Normal 2 4 3 5 3" xfId="5517" xr:uid="{00000000-0005-0000-0000-000027100000}"/>
    <cellStyle name="Normal 2 4 3 5 3 2" xfId="13959" xr:uid="{2C9DE21C-37A6-4B58-9D71-AF7DBA62DC3F}"/>
    <cellStyle name="Normal 2 4 3 5 4" xfId="9741" xr:uid="{C65AE42A-A74B-41FC-9C0F-D8A3527B2819}"/>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F4C62100-BFFE-4E0B-B933-BA54D811F631}"/>
    <cellStyle name="Normal 2 4 3 6 2 3" xfId="12299" xr:uid="{A645BD13-691E-499B-9452-285E5ABDE762}"/>
    <cellStyle name="Normal 2 4 3 6 3" xfId="5930" xr:uid="{00000000-0005-0000-0000-00002B100000}"/>
    <cellStyle name="Normal 2 4 3 6 3 2" xfId="14372" xr:uid="{0E44D39F-D0B4-4779-B6A4-59D1FA9D7F1E}"/>
    <cellStyle name="Normal 2 4 3 6 4" xfId="10154" xr:uid="{ACB3B316-6B0A-453D-A98D-09B0F15D7B13}"/>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EFA5843D-D8EA-40FF-95CB-90D6A490DF9B}"/>
    <cellStyle name="Normal 2 4 3 7 2 3" xfId="12712" xr:uid="{8E98BB41-C4F1-4934-B986-50F5A8724619}"/>
    <cellStyle name="Normal 2 4 3 7 3" xfId="6343" xr:uid="{00000000-0005-0000-0000-00002F100000}"/>
    <cellStyle name="Normal 2 4 3 7 3 2" xfId="14785" xr:uid="{68057033-05CD-478A-9831-A4A4F17CC909}"/>
    <cellStyle name="Normal 2 4 3 7 4" xfId="10567" xr:uid="{CBC96521-D5D7-4304-8617-6865003036DA}"/>
    <cellStyle name="Normal 2 4 3 8" xfId="2472" xr:uid="{00000000-0005-0000-0000-000030100000}"/>
    <cellStyle name="Normal 2 4 3 8 2" xfId="6756" xr:uid="{00000000-0005-0000-0000-000031100000}"/>
    <cellStyle name="Normal 2 4 3 8 2 2" xfId="15198" xr:uid="{99239555-154A-4BC2-AA3D-193B8A55BACD}"/>
    <cellStyle name="Normal 2 4 3 8 3" xfId="10980" xr:uid="{27B976D6-4355-4393-B0BB-B751D84ACD71}"/>
    <cellStyle name="Normal 2 4 3 9" xfId="4690" xr:uid="{00000000-0005-0000-0000-000032100000}"/>
    <cellStyle name="Normal 2 4 3 9 2" xfId="13132" xr:uid="{B4E6766D-C3A8-4F90-A866-38D18201CE45}"/>
    <cellStyle name="Normal 2 4 4" xfId="302" xr:uid="{00000000-0005-0000-0000-000033100000}"/>
    <cellStyle name="Normal 2 4 5" xfId="303" xr:uid="{00000000-0005-0000-0000-000034100000}"/>
    <cellStyle name="Normal 2 4 5 10" xfId="4695" xr:uid="{00000000-0005-0000-0000-000035100000}"/>
    <cellStyle name="Normal 2 4 5 10 2" xfId="13137" xr:uid="{67E694DC-437F-4ECA-99C0-0BFE7E82B064}"/>
    <cellStyle name="Normal 2 4 5 11" xfId="8919" xr:uid="{A2554C57-0E34-4E8D-BBF6-F35D90FFBAB2}"/>
    <cellStyle name="Normal 2 4 5 2" xfId="304" xr:uid="{00000000-0005-0000-0000-000036100000}"/>
    <cellStyle name="Normal 2 4 5 2 10" xfId="8920" xr:uid="{5073A3F3-798B-4908-9021-D3CA1973842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40D76D00-FF31-474D-A650-08AF0AFD36EC}"/>
    <cellStyle name="Normal 2 4 5 2 2 2 2 2 3" xfId="11481" xr:uid="{A4242DE3-D6CF-4F19-A774-49C7D22EDF8F}"/>
    <cellStyle name="Normal 2 4 5 2 2 2 2 3" xfId="5112" xr:uid="{00000000-0005-0000-0000-00003C100000}"/>
    <cellStyle name="Normal 2 4 5 2 2 2 2 3 2" xfId="13554" xr:uid="{8EB59C07-5B62-4A86-9667-728A8D7CAF69}"/>
    <cellStyle name="Normal 2 4 5 2 2 2 2 4" xfId="9336" xr:uid="{CBA21BBA-CBD4-45B5-89D3-14A92D9C10F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1CA349EE-A6E6-4AAB-804B-85FEF35D724D}"/>
    <cellStyle name="Normal 2 4 5 2 2 2 3 2 3" xfId="11894" xr:uid="{FB963D6B-87CB-4795-9382-123128667FAB}"/>
    <cellStyle name="Normal 2 4 5 2 2 2 3 3" xfId="5525" xr:uid="{00000000-0005-0000-0000-000040100000}"/>
    <cellStyle name="Normal 2 4 5 2 2 2 3 3 2" xfId="13967" xr:uid="{7B6AC105-94A4-459F-8C16-CE63F185B209}"/>
    <cellStyle name="Normal 2 4 5 2 2 2 3 4" xfId="9749" xr:uid="{AE21782D-145B-4D57-9627-5C00780C4FBA}"/>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899C47EA-E206-4B97-B667-F3F82383CD26}"/>
    <cellStyle name="Normal 2 4 5 2 2 2 4 2 3" xfId="12307" xr:uid="{F9806CD5-7B1A-424C-BF16-3FC8429375EE}"/>
    <cellStyle name="Normal 2 4 5 2 2 2 4 3" xfId="5938" xr:uid="{00000000-0005-0000-0000-000044100000}"/>
    <cellStyle name="Normal 2 4 5 2 2 2 4 3 2" xfId="14380" xr:uid="{11B0FB8B-BA1C-4459-AD88-3CE5AEBBEFC5}"/>
    <cellStyle name="Normal 2 4 5 2 2 2 4 4" xfId="10162" xr:uid="{D622AF8D-96B0-43E8-8F04-832EFE4F85F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C8ABAD3D-43E5-4A73-8E83-63B5E487DA6F}"/>
    <cellStyle name="Normal 2 4 5 2 2 2 5 2 3" xfId="12720" xr:uid="{2FE75A7C-6D1B-4C89-8198-C94BAE682495}"/>
    <cellStyle name="Normal 2 4 5 2 2 2 5 3" xfId="6351" xr:uid="{00000000-0005-0000-0000-000048100000}"/>
    <cellStyle name="Normal 2 4 5 2 2 2 5 3 2" xfId="14793" xr:uid="{CF12DD2A-1F52-4E06-9BC7-839B1AC41342}"/>
    <cellStyle name="Normal 2 4 5 2 2 2 5 4" xfId="10575" xr:uid="{F46A709D-4DF0-47DE-A368-ECB92A3B6F7D}"/>
    <cellStyle name="Normal 2 4 5 2 2 2 6" xfId="2480" xr:uid="{00000000-0005-0000-0000-000049100000}"/>
    <cellStyle name="Normal 2 4 5 2 2 2 6 2" xfId="6764" xr:uid="{00000000-0005-0000-0000-00004A100000}"/>
    <cellStyle name="Normal 2 4 5 2 2 2 6 2 2" xfId="15206" xr:uid="{F599AD66-A162-4BBE-B051-2B954ADABA4F}"/>
    <cellStyle name="Normal 2 4 5 2 2 2 6 3" xfId="10988" xr:uid="{D65C2661-AD31-4540-9C25-18245A026628}"/>
    <cellStyle name="Normal 2 4 5 2 2 2 7" xfId="4698" xr:uid="{00000000-0005-0000-0000-00004B100000}"/>
    <cellStyle name="Normal 2 4 5 2 2 2 7 2" xfId="13140" xr:uid="{C0B387A5-7F76-49DF-8BC6-66A49FACCE4D}"/>
    <cellStyle name="Normal 2 4 5 2 2 2 8" xfId="8922" xr:uid="{137D74A4-B3FC-459F-9FB3-929C16876716}"/>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C31DCD86-11BE-4D13-BB9D-761420AFA537}"/>
    <cellStyle name="Normal 2 4 5 2 2 3 2 3" xfId="11480" xr:uid="{D5710D99-422D-441F-B1AB-B580A95A41CB}"/>
    <cellStyle name="Normal 2 4 5 2 2 3 3" xfId="5111" xr:uid="{00000000-0005-0000-0000-00004F100000}"/>
    <cellStyle name="Normal 2 4 5 2 2 3 3 2" xfId="13553" xr:uid="{06352CE9-AE0D-4349-A79B-41927260C1BB}"/>
    <cellStyle name="Normal 2 4 5 2 2 3 4" xfId="9335" xr:uid="{5C21F629-8745-41CB-A9B3-F24A0AC3F63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C9AE71D5-4D0F-4EC5-B533-0B306AE7720B}"/>
    <cellStyle name="Normal 2 4 5 2 2 4 2 3" xfId="11893" xr:uid="{F357A498-66D3-4513-BD71-652C8396C265}"/>
    <cellStyle name="Normal 2 4 5 2 2 4 3" xfId="5524" xr:uid="{00000000-0005-0000-0000-000053100000}"/>
    <cellStyle name="Normal 2 4 5 2 2 4 3 2" xfId="13966" xr:uid="{0ACD69B3-BB46-40E7-9BF3-558D64B73011}"/>
    <cellStyle name="Normal 2 4 5 2 2 4 4" xfId="9748" xr:uid="{45F83EA0-7D1D-4DD7-AED7-237167AEE01F}"/>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5C5514D9-D839-4E47-B3A6-10E6C0CABC91}"/>
    <cellStyle name="Normal 2 4 5 2 2 5 2 3" xfId="12306" xr:uid="{2A2B84BE-6390-4AE2-971C-B7C6A8AFBC22}"/>
    <cellStyle name="Normal 2 4 5 2 2 5 3" xfId="5937" xr:uid="{00000000-0005-0000-0000-000057100000}"/>
    <cellStyle name="Normal 2 4 5 2 2 5 3 2" xfId="14379" xr:uid="{683565E8-FC5B-4D6F-9146-20BA5E59FBEA}"/>
    <cellStyle name="Normal 2 4 5 2 2 5 4" xfId="10161" xr:uid="{02CF8716-C439-4ACB-AD59-881F8C0355AC}"/>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8378AF98-EFD9-4200-862E-22903293AE99}"/>
    <cellStyle name="Normal 2 4 5 2 2 6 2 3" xfId="12719" xr:uid="{93263C22-AF18-446D-9281-A8D40A3B5667}"/>
    <cellStyle name="Normal 2 4 5 2 2 6 3" xfId="6350" xr:uid="{00000000-0005-0000-0000-00005B100000}"/>
    <cellStyle name="Normal 2 4 5 2 2 6 3 2" xfId="14792" xr:uid="{9EA804F0-31F8-46AD-846A-9EA89D5E58A5}"/>
    <cellStyle name="Normal 2 4 5 2 2 6 4" xfId="10574" xr:uid="{FB768870-6860-45F2-9B38-C7BB9E0F33E9}"/>
    <cellStyle name="Normal 2 4 5 2 2 7" xfId="2479" xr:uid="{00000000-0005-0000-0000-00005C100000}"/>
    <cellStyle name="Normal 2 4 5 2 2 7 2" xfId="6763" xr:uid="{00000000-0005-0000-0000-00005D100000}"/>
    <cellStyle name="Normal 2 4 5 2 2 7 2 2" xfId="15205" xr:uid="{01C73F08-E5CD-4154-A7BD-4F3036B05FCA}"/>
    <cellStyle name="Normal 2 4 5 2 2 7 3" xfId="10987" xr:uid="{A3562A0E-003D-4C3A-81D8-4FB33C32F4BB}"/>
    <cellStyle name="Normal 2 4 5 2 2 8" xfId="4697" xr:uid="{00000000-0005-0000-0000-00005E100000}"/>
    <cellStyle name="Normal 2 4 5 2 2 8 2" xfId="13139" xr:uid="{B0BCDE53-E82C-4D2D-8218-9AFEE47FDC49}"/>
    <cellStyle name="Normal 2 4 5 2 2 9" xfId="8921" xr:uid="{2D70C97A-A701-47D0-8B8B-94D381F5BEB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D0412B1C-D8DB-442E-97D5-53B60891670B}"/>
    <cellStyle name="Normal 2 4 5 2 3 2 2 3" xfId="11482" xr:uid="{F96C7593-AA58-43C6-AA9B-E23C10D42C81}"/>
    <cellStyle name="Normal 2 4 5 2 3 2 3" xfId="5113" xr:uid="{00000000-0005-0000-0000-000063100000}"/>
    <cellStyle name="Normal 2 4 5 2 3 2 3 2" xfId="13555" xr:uid="{8FDF9F7C-F8F0-464B-8DE4-2788A096E717}"/>
    <cellStyle name="Normal 2 4 5 2 3 2 4" xfId="9337" xr:uid="{84C7CD61-F02B-4BA5-A54A-D3B0A2A0769A}"/>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64C723DE-2EE4-4AC4-BCF3-1895026B114C}"/>
    <cellStyle name="Normal 2 4 5 2 3 3 2 3" xfId="11895" xr:uid="{349DDAD3-5405-4ED1-99A5-0E551B91CFCB}"/>
    <cellStyle name="Normal 2 4 5 2 3 3 3" xfId="5526" xr:uid="{00000000-0005-0000-0000-000067100000}"/>
    <cellStyle name="Normal 2 4 5 2 3 3 3 2" xfId="13968" xr:uid="{C6E8D476-AFF2-4ABA-8199-2ED85A0604D5}"/>
    <cellStyle name="Normal 2 4 5 2 3 3 4" xfId="9750" xr:uid="{1C4E1DB4-EF15-45A0-91AE-9ABEEB546C7C}"/>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52C0EB0B-3019-42F4-A952-9F73F75C3C4F}"/>
    <cellStyle name="Normal 2 4 5 2 3 4 2 3" xfId="12308" xr:uid="{17C9D1A0-0263-44A8-9041-CC5425AB9F2D}"/>
    <cellStyle name="Normal 2 4 5 2 3 4 3" xfId="5939" xr:uid="{00000000-0005-0000-0000-00006B100000}"/>
    <cellStyle name="Normal 2 4 5 2 3 4 3 2" xfId="14381" xr:uid="{4371048F-806F-4F53-92EB-038ECC3328DC}"/>
    <cellStyle name="Normal 2 4 5 2 3 4 4" xfId="10163" xr:uid="{585961B8-612A-49D3-A4C0-959F50D6A17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4AC3756C-2694-44B7-8822-2FC810D155B5}"/>
    <cellStyle name="Normal 2 4 5 2 3 5 2 3" xfId="12721" xr:uid="{FDC4E904-86ED-41DF-9B3F-F255F813F599}"/>
    <cellStyle name="Normal 2 4 5 2 3 5 3" xfId="6352" xr:uid="{00000000-0005-0000-0000-00006F100000}"/>
    <cellStyle name="Normal 2 4 5 2 3 5 3 2" xfId="14794" xr:uid="{C1EDD4E5-5D03-4056-A254-C52D0792B54D}"/>
    <cellStyle name="Normal 2 4 5 2 3 5 4" xfId="10576" xr:uid="{2CE7530B-EBAA-4E9C-A176-6FCCA4EB6A4A}"/>
    <cellStyle name="Normal 2 4 5 2 3 6" xfId="2481" xr:uid="{00000000-0005-0000-0000-000070100000}"/>
    <cellStyle name="Normal 2 4 5 2 3 6 2" xfId="6765" xr:uid="{00000000-0005-0000-0000-000071100000}"/>
    <cellStyle name="Normal 2 4 5 2 3 6 2 2" xfId="15207" xr:uid="{B046A9FB-347B-4B05-B9B9-C14496DCFD2D}"/>
    <cellStyle name="Normal 2 4 5 2 3 6 3" xfId="10989" xr:uid="{9F70BECA-8B75-48CA-9889-06A829463B52}"/>
    <cellStyle name="Normal 2 4 5 2 3 7" xfId="4699" xr:uid="{00000000-0005-0000-0000-000072100000}"/>
    <cellStyle name="Normal 2 4 5 2 3 7 2" xfId="13141" xr:uid="{E473C142-23F2-4335-9841-F36FD10AF5F4}"/>
    <cellStyle name="Normal 2 4 5 2 3 8" xfId="8923" xr:uid="{85FD2273-0097-4317-8D14-499E114FD70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3834B0C6-9695-4BB3-9A5A-3B572B6579F9}"/>
    <cellStyle name="Normal 2 4 5 2 4 2 3" xfId="11479" xr:uid="{26D56B00-FC74-41B2-AD6B-DBEDE1BBA333}"/>
    <cellStyle name="Normal 2 4 5 2 4 3" xfId="5110" xr:uid="{00000000-0005-0000-0000-000076100000}"/>
    <cellStyle name="Normal 2 4 5 2 4 3 2" xfId="13552" xr:uid="{1E27EA69-6303-4277-8EFB-D5CE0CEE6731}"/>
    <cellStyle name="Normal 2 4 5 2 4 4" xfId="9334" xr:uid="{4E346528-B90A-4E23-B1FC-2D6A950042C4}"/>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F81F4EFD-CAFF-44BC-8BE6-49669D726494}"/>
    <cellStyle name="Normal 2 4 5 2 5 2 3" xfId="11892" xr:uid="{4FC38DD4-F7C7-42D6-B0BE-D603445EC564}"/>
    <cellStyle name="Normal 2 4 5 2 5 3" xfId="5523" xr:uid="{00000000-0005-0000-0000-00007A100000}"/>
    <cellStyle name="Normal 2 4 5 2 5 3 2" xfId="13965" xr:uid="{CF9E9058-381F-49E1-8991-6B457F40FFF1}"/>
    <cellStyle name="Normal 2 4 5 2 5 4" xfId="9747" xr:uid="{5D99E79C-283D-41C9-B050-BCB6E9A8A615}"/>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5BEE1924-950D-4CF2-A2BA-07F941057A61}"/>
    <cellStyle name="Normal 2 4 5 2 6 2 3" xfId="12305" xr:uid="{72C4A60B-B21A-4AEC-A0FC-2A30679501A3}"/>
    <cellStyle name="Normal 2 4 5 2 6 3" xfId="5936" xr:uid="{00000000-0005-0000-0000-00007E100000}"/>
    <cellStyle name="Normal 2 4 5 2 6 3 2" xfId="14378" xr:uid="{0260145E-43A4-4C31-B224-4F2443774C26}"/>
    <cellStyle name="Normal 2 4 5 2 6 4" xfId="10160" xr:uid="{86AE2DEB-1DB8-4564-B96E-F992C78E1B02}"/>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63CCA8C6-C079-4E81-BF12-A61700974376}"/>
    <cellStyle name="Normal 2 4 5 2 7 2 3" xfId="12718" xr:uid="{9E3E7D7D-F817-4786-8922-DFCA871A9145}"/>
    <cellStyle name="Normal 2 4 5 2 7 3" xfId="6349" xr:uid="{00000000-0005-0000-0000-000082100000}"/>
    <cellStyle name="Normal 2 4 5 2 7 3 2" xfId="14791" xr:uid="{E0CE0344-A890-4FC9-A875-983356AB08C9}"/>
    <cellStyle name="Normal 2 4 5 2 7 4" xfId="10573" xr:uid="{11173B48-216F-476D-AC83-2250F4578F27}"/>
    <cellStyle name="Normal 2 4 5 2 8" xfId="2478" xr:uid="{00000000-0005-0000-0000-000083100000}"/>
    <cellStyle name="Normal 2 4 5 2 8 2" xfId="6762" xr:uid="{00000000-0005-0000-0000-000084100000}"/>
    <cellStyle name="Normal 2 4 5 2 8 2 2" xfId="15204" xr:uid="{77FD50F0-8076-4A90-B90C-4897E9A3914F}"/>
    <cellStyle name="Normal 2 4 5 2 8 3" xfId="10986" xr:uid="{0851C7A8-26F9-4B02-A06C-E5712A814A52}"/>
    <cellStyle name="Normal 2 4 5 2 9" xfId="4696" xr:uid="{00000000-0005-0000-0000-000085100000}"/>
    <cellStyle name="Normal 2 4 5 2 9 2" xfId="13138" xr:uid="{BD8DE223-4730-416E-A689-F29B14D1F05F}"/>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9758CA30-299F-432C-AF92-82E4A288D352}"/>
    <cellStyle name="Normal 2 4 5 3 2 2 2 3" xfId="11484" xr:uid="{9AE1E31D-30B9-491A-A88F-F18BC8653BD6}"/>
    <cellStyle name="Normal 2 4 5 3 2 2 3" xfId="5115" xr:uid="{00000000-0005-0000-0000-00008B100000}"/>
    <cellStyle name="Normal 2 4 5 3 2 2 3 2" xfId="13557" xr:uid="{E3DDEB66-E02E-42D2-A653-6F0FC9F28FF5}"/>
    <cellStyle name="Normal 2 4 5 3 2 2 4" xfId="9339" xr:uid="{493BE1A4-A086-4EEE-B9A8-64FF737AB638}"/>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1DCB5160-A7A7-4078-AA9D-47B0D3E658FA}"/>
    <cellStyle name="Normal 2 4 5 3 2 3 2 3" xfId="11897" xr:uid="{1E74C351-7DAC-4657-BDF5-9AA7A71F29AD}"/>
    <cellStyle name="Normal 2 4 5 3 2 3 3" xfId="5528" xr:uid="{00000000-0005-0000-0000-00008F100000}"/>
    <cellStyle name="Normal 2 4 5 3 2 3 3 2" xfId="13970" xr:uid="{96B9C1B7-0865-4D87-8392-BEFA40B1E4CD}"/>
    <cellStyle name="Normal 2 4 5 3 2 3 4" xfId="9752" xr:uid="{14A02AAA-0554-48DA-A1E8-B3D09E9ECD3A}"/>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F7F092E9-6910-4970-BF28-00F40566BEDD}"/>
    <cellStyle name="Normal 2 4 5 3 2 4 2 3" xfId="12310" xr:uid="{1883017F-1D70-4FA7-93A8-18D1A724279A}"/>
    <cellStyle name="Normal 2 4 5 3 2 4 3" xfId="5941" xr:uid="{00000000-0005-0000-0000-000093100000}"/>
    <cellStyle name="Normal 2 4 5 3 2 4 3 2" xfId="14383" xr:uid="{BEEBFDF6-C16A-48C2-975E-8E0BFEE0EAE2}"/>
    <cellStyle name="Normal 2 4 5 3 2 4 4" xfId="10165" xr:uid="{945F988C-76BA-485D-9095-EC9DFDE5C4D7}"/>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5201FA8D-74C4-47C0-ACE7-939FE81D7102}"/>
    <cellStyle name="Normal 2 4 5 3 2 5 2 3" xfId="12723" xr:uid="{CD190311-31AA-4A94-939D-6B02C29F9F30}"/>
    <cellStyle name="Normal 2 4 5 3 2 5 3" xfId="6354" xr:uid="{00000000-0005-0000-0000-000097100000}"/>
    <cellStyle name="Normal 2 4 5 3 2 5 3 2" xfId="14796" xr:uid="{91A98650-179C-44CA-8C2E-7887BF535A14}"/>
    <cellStyle name="Normal 2 4 5 3 2 5 4" xfId="10578" xr:uid="{92F5B632-81A0-46D5-9A19-DB4C2315EAF9}"/>
    <cellStyle name="Normal 2 4 5 3 2 6" xfId="2483" xr:uid="{00000000-0005-0000-0000-000098100000}"/>
    <cellStyle name="Normal 2 4 5 3 2 6 2" xfId="6767" xr:uid="{00000000-0005-0000-0000-000099100000}"/>
    <cellStyle name="Normal 2 4 5 3 2 6 2 2" xfId="15209" xr:uid="{732D40D0-EB03-4980-B63E-CA4C7BDEC161}"/>
    <cellStyle name="Normal 2 4 5 3 2 6 3" xfId="10991" xr:uid="{6EB6DF4B-4FFF-4791-9FEE-F0AE1D647CC5}"/>
    <cellStyle name="Normal 2 4 5 3 2 7" xfId="4701" xr:uid="{00000000-0005-0000-0000-00009A100000}"/>
    <cellStyle name="Normal 2 4 5 3 2 7 2" xfId="13143" xr:uid="{A1520836-2859-4F75-AB7D-65A95C729F06}"/>
    <cellStyle name="Normal 2 4 5 3 2 8" xfId="8925" xr:uid="{5A4FC5B5-A021-4E28-B354-EBBD92526459}"/>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7D3990B6-BDA1-460C-9E04-674D409857A3}"/>
    <cellStyle name="Normal 2 4 5 3 3 2 3" xfId="11483" xr:uid="{90284CF3-217D-48E3-9C24-823EC7B846EC}"/>
    <cellStyle name="Normal 2 4 5 3 3 3" xfId="5114" xr:uid="{00000000-0005-0000-0000-00009E100000}"/>
    <cellStyle name="Normal 2 4 5 3 3 3 2" xfId="13556" xr:uid="{132981DD-E89E-47F2-8C1B-4952A64102ED}"/>
    <cellStyle name="Normal 2 4 5 3 3 4" xfId="9338" xr:uid="{2A9AA2C1-08BB-4D01-9DA2-BB5733C4501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90A957B-C2C6-4CE9-AB6B-653359C19AC9}"/>
    <cellStyle name="Normal 2 4 5 3 4 2 3" xfId="11896" xr:uid="{DF6AE26B-1100-430F-BD12-170786CB148C}"/>
    <cellStyle name="Normal 2 4 5 3 4 3" xfId="5527" xr:uid="{00000000-0005-0000-0000-0000A2100000}"/>
    <cellStyle name="Normal 2 4 5 3 4 3 2" xfId="13969" xr:uid="{01A94297-1028-4DFD-9743-95B7467F93F6}"/>
    <cellStyle name="Normal 2 4 5 3 4 4" xfId="9751" xr:uid="{FFED1A2F-98AF-49C7-BF52-C409DF7D7548}"/>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5ADA08DB-31BA-4A8F-9275-FDD845BFEA2A}"/>
    <cellStyle name="Normal 2 4 5 3 5 2 3" xfId="12309" xr:uid="{F735423B-05EE-4AB8-A5A2-F1429A77E8F4}"/>
    <cellStyle name="Normal 2 4 5 3 5 3" xfId="5940" xr:uid="{00000000-0005-0000-0000-0000A6100000}"/>
    <cellStyle name="Normal 2 4 5 3 5 3 2" xfId="14382" xr:uid="{16027E07-3C34-4782-A8EA-6151DC090485}"/>
    <cellStyle name="Normal 2 4 5 3 5 4" xfId="10164" xr:uid="{C7E00DB2-F228-4B1D-8D9E-A8647AE4E4A1}"/>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651B69A0-AA96-4508-B2AD-16A153A1088A}"/>
    <cellStyle name="Normal 2 4 5 3 6 2 3" xfId="12722" xr:uid="{0F278E7C-FD29-4CF7-8669-DDDF2C6B6B0C}"/>
    <cellStyle name="Normal 2 4 5 3 6 3" xfId="6353" xr:uid="{00000000-0005-0000-0000-0000AA100000}"/>
    <cellStyle name="Normal 2 4 5 3 6 3 2" xfId="14795" xr:uid="{0B31C475-6F86-429C-A9A7-52BA06C80584}"/>
    <cellStyle name="Normal 2 4 5 3 6 4" xfId="10577" xr:uid="{5CEF2AD8-2B32-4EA4-9DBA-91A0DFED19A7}"/>
    <cellStyle name="Normal 2 4 5 3 7" xfId="2482" xr:uid="{00000000-0005-0000-0000-0000AB100000}"/>
    <cellStyle name="Normal 2 4 5 3 7 2" xfId="6766" xr:uid="{00000000-0005-0000-0000-0000AC100000}"/>
    <cellStyle name="Normal 2 4 5 3 7 2 2" xfId="15208" xr:uid="{9C7AAC17-9999-4F85-B8E8-9017BF826354}"/>
    <cellStyle name="Normal 2 4 5 3 7 3" xfId="10990" xr:uid="{829EB1C5-366E-4471-947B-433EAC7C7C9C}"/>
    <cellStyle name="Normal 2 4 5 3 8" xfId="4700" xr:uid="{00000000-0005-0000-0000-0000AD100000}"/>
    <cellStyle name="Normal 2 4 5 3 8 2" xfId="13142" xr:uid="{5A103121-7A29-4045-BFA3-085818A5F988}"/>
    <cellStyle name="Normal 2 4 5 3 9" xfId="8924" xr:uid="{01839A96-9C22-4212-A360-9E4643DA352C}"/>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EE27B2D3-1EAD-4820-AF06-C83BC27634E5}"/>
    <cellStyle name="Normal 2 4 5 4 2 2 3" xfId="11485" xr:uid="{5219292D-38D1-4088-9194-F7B939C42FE9}"/>
    <cellStyle name="Normal 2 4 5 4 2 3" xfId="5116" xr:uid="{00000000-0005-0000-0000-0000B2100000}"/>
    <cellStyle name="Normal 2 4 5 4 2 3 2" xfId="13558" xr:uid="{FBE059B5-B054-4227-8562-259D434147B6}"/>
    <cellStyle name="Normal 2 4 5 4 2 4" xfId="9340" xr:uid="{F175C18C-C351-4879-A63B-318FD19BA3F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37BE324F-8C1C-435D-AE08-3FE0EF662E28}"/>
    <cellStyle name="Normal 2 4 5 4 3 2 3" xfId="11898" xr:uid="{697C8DCD-FDF7-4419-89BB-BE3287398BF1}"/>
    <cellStyle name="Normal 2 4 5 4 3 3" xfId="5529" xr:uid="{00000000-0005-0000-0000-0000B6100000}"/>
    <cellStyle name="Normal 2 4 5 4 3 3 2" xfId="13971" xr:uid="{8D67F337-8128-431C-BEC3-E9A271DE5D58}"/>
    <cellStyle name="Normal 2 4 5 4 3 4" xfId="9753" xr:uid="{4728CC77-2C0B-45F1-A4C8-66A4A6F662B8}"/>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6A3289F4-B222-41CD-9B0A-554C35AC743C}"/>
    <cellStyle name="Normal 2 4 5 4 4 2 3" xfId="12311" xr:uid="{1975F9B1-6CBD-49E6-AA11-816AEA178890}"/>
    <cellStyle name="Normal 2 4 5 4 4 3" xfId="5942" xr:uid="{00000000-0005-0000-0000-0000BA100000}"/>
    <cellStyle name="Normal 2 4 5 4 4 3 2" xfId="14384" xr:uid="{1558CBC7-0468-404F-A19D-5EB5674F4F9D}"/>
    <cellStyle name="Normal 2 4 5 4 4 4" xfId="10166" xr:uid="{C8F90AD2-1218-47F2-8A00-5092483A37D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039E37FA-9943-4F54-820C-53731F872A2E}"/>
    <cellStyle name="Normal 2 4 5 4 5 2 3" xfId="12724" xr:uid="{108A2586-837B-4AD1-88F2-A316583A515D}"/>
    <cellStyle name="Normal 2 4 5 4 5 3" xfId="6355" xr:uid="{00000000-0005-0000-0000-0000BE100000}"/>
    <cellStyle name="Normal 2 4 5 4 5 3 2" xfId="14797" xr:uid="{EBD15B78-1B18-4A81-A0C8-B6DEEADAAD59}"/>
    <cellStyle name="Normal 2 4 5 4 5 4" xfId="10579" xr:uid="{FAE71297-E07E-4E8D-892D-0B7BEFD274D4}"/>
    <cellStyle name="Normal 2 4 5 4 6" xfId="2484" xr:uid="{00000000-0005-0000-0000-0000BF100000}"/>
    <cellStyle name="Normal 2 4 5 4 6 2" xfId="6768" xr:uid="{00000000-0005-0000-0000-0000C0100000}"/>
    <cellStyle name="Normal 2 4 5 4 6 2 2" xfId="15210" xr:uid="{C8410EDB-0697-4380-8034-C0237CAFC513}"/>
    <cellStyle name="Normal 2 4 5 4 6 3" xfId="10992" xr:uid="{5CC61702-A183-4799-87CC-B8A1CADAF111}"/>
    <cellStyle name="Normal 2 4 5 4 7" xfId="4702" xr:uid="{00000000-0005-0000-0000-0000C1100000}"/>
    <cellStyle name="Normal 2 4 5 4 7 2" xfId="13144" xr:uid="{00DA20B8-D2A7-44C5-B3A3-C043168939BA}"/>
    <cellStyle name="Normal 2 4 5 4 8" xfId="8926" xr:uid="{941A42F2-036C-4556-9532-0657AD02AF99}"/>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964587C9-2E07-43D5-85DE-29E9A620B9AC}"/>
    <cellStyle name="Normal 2 4 5 5 2 3" xfId="11478" xr:uid="{63E89574-2A29-4F74-9FDB-5AA15458009D}"/>
    <cellStyle name="Normal 2 4 5 5 3" xfId="5109" xr:uid="{00000000-0005-0000-0000-0000C5100000}"/>
    <cellStyle name="Normal 2 4 5 5 3 2" xfId="13551" xr:uid="{8C5628E1-CD33-4676-BB8B-B8E366E0C857}"/>
    <cellStyle name="Normal 2 4 5 5 4" xfId="9333" xr:uid="{A192656A-6A4A-4AE5-A446-80784A38FA6C}"/>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013679E-A48E-4DBD-9629-AFBC773AC121}"/>
    <cellStyle name="Normal 2 4 5 6 2 3" xfId="11891" xr:uid="{12059105-A34C-46D9-8EDB-A03ACDDCE7B2}"/>
    <cellStyle name="Normal 2 4 5 6 3" xfId="5522" xr:uid="{00000000-0005-0000-0000-0000C9100000}"/>
    <cellStyle name="Normal 2 4 5 6 3 2" xfId="13964" xr:uid="{CDE8A643-9DFB-463D-AE92-578C6461173E}"/>
    <cellStyle name="Normal 2 4 5 6 4" xfId="9746" xr:uid="{61C67AEC-E8BB-4B8C-947D-3B9359A8AE02}"/>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AD8AE6CF-5B52-4F41-BE19-3BFD41A83976}"/>
    <cellStyle name="Normal 2 4 5 7 2 3" xfId="12304" xr:uid="{AB354486-CBB7-4C5C-952E-B11AB8CD99AD}"/>
    <cellStyle name="Normal 2 4 5 7 3" xfId="5935" xr:uid="{00000000-0005-0000-0000-0000CD100000}"/>
    <cellStyle name="Normal 2 4 5 7 3 2" xfId="14377" xr:uid="{47684357-8A5A-49B7-9EA8-E9B2AC5C7B58}"/>
    <cellStyle name="Normal 2 4 5 7 4" xfId="10159" xr:uid="{34313AF5-9B05-48A9-B013-50AC043384CB}"/>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03C3AECB-118A-446B-B77F-247DAD282DA0}"/>
    <cellStyle name="Normal 2 4 5 8 2 3" xfId="12717" xr:uid="{04858190-A0FB-42C6-AAC6-E5CECE31FAB6}"/>
    <cellStyle name="Normal 2 4 5 8 3" xfId="6348" xr:uid="{00000000-0005-0000-0000-0000D1100000}"/>
    <cellStyle name="Normal 2 4 5 8 3 2" xfId="14790" xr:uid="{49E7288D-37DD-401F-9BDB-AFB4343F62C6}"/>
    <cellStyle name="Normal 2 4 5 8 4" xfId="10572" xr:uid="{05855F09-00DD-4268-8444-1EAC9B0ABE08}"/>
    <cellStyle name="Normal 2 4 5 9" xfId="2477" xr:uid="{00000000-0005-0000-0000-0000D2100000}"/>
    <cellStyle name="Normal 2 4 5 9 2" xfId="6761" xr:uid="{00000000-0005-0000-0000-0000D3100000}"/>
    <cellStyle name="Normal 2 4 5 9 2 2" xfId="15203" xr:uid="{0D5D950C-C0E9-4A26-B324-9C86AE71B187}"/>
    <cellStyle name="Normal 2 4 5 9 3" xfId="10985" xr:uid="{BE3C1FFD-FCB9-4B13-90CA-34C4A54A51D8}"/>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FDDD5F77-5360-47F0-B3E7-9263B18FEB44}"/>
    <cellStyle name="Normal 2 4 7 2 2 2 3" xfId="11487" xr:uid="{00F31829-154F-415D-865D-F199031FB302}"/>
    <cellStyle name="Normal 2 4 7 2 2 3" xfId="5118" xr:uid="{00000000-0005-0000-0000-0000DA100000}"/>
    <cellStyle name="Normal 2 4 7 2 2 3 2" xfId="13560" xr:uid="{4AAC0085-A261-42C5-9D19-1B45C87D30B4}"/>
    <cellStyle name="Normal 2 4 7 2 2 4" xfId="9342" xr:uid="{6872FE61-62BE-41AF-A9CE-2D15FFF5BE0D}"/>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7083B18C-377D-494A-9AA4-FC331D1BCD12}"/>
    <cellStyle name="Normal 2 4 7 2 3 2 3" xfId="11900" xr:uid="{D7580B8A-BF52-4420-9F39-FEE2C0317920}"/>
    <cellStyle name="Normal 2 4 7 2 3 3" xfId="5531" xr:uid="{00000000-0005-0000-0000-0000DE100000}"/>
    <cellStyle name="Normal 2 4 7 2 3 3 2" xfId="13973" xr:uid="{BDB3C819-04A8-4A10-A762-9912115E9886}"/>
    <cellStyle name="Normal 2 4 7 2 3 4" xfId="9755" xr:uid="{2DFF5470-5E2E-413F-A2BE-F9912AA2286A}"/>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D7632003-3B34-4141-98D7-6D64F3078F9C}"/>
    <cellStyle name="Normal 2 4 7 2 4 2 3" xfId="12313" xr:uid="{0B0841BD-D1A8-4733-96F7-72446BCF6F39}"/>
    <cellStyle name="Normal 2 4 7 2 4 3" xfId="5944" xr:uid="{00000000-0005-0000-0000-0000E2100000}"/>
    <cellStyle name="Normal 2 4 7 2 4 3 2" xfId="14386" xr:uid="{A526A837-4183-4040-A34F-7B10E3372C51}"/>
    <cellStyle name="Normal 2 4 7 2 4 4" xfId="10168" xr:uid="{58A37359-512B-4411-B398-449DEDD5C7B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A7AC756B-4807-4579-A226-44B1941D3F45}"/>
    <cellStyle name="Normal 2 4 7 2 5 2 3" xfId="12726" xr:uid="{AC9EE045-B424-4550-9AF6-232DD888AF95}"/>
    <cellStyle name="Normal 2 4 7 2 5 3" xfId="6357" xr:uid="{00000000-0005-0000-0000-0000E6100000}"/>
    <cellStyle name="Normal 2 4 7 2 5 3 2" xfId="14799" xr:uid="{AA14EC9C-AE59-4C93-A9A0-F9319007E316}"/>
    <cellStyle name="Normal 2 4 7 2 5 4" xfId="10581" xr:uid="{C95AB220-CEB6-485A-B62C-ED379F1A3BEE}"/>
    <cellStyle name="Normal 2 4 7 2 6" xfId="2486" xr:uid="{00000000-0005-0000-0000-0000E7100000}"/>
    <cellStyle name="Normal 2 4 7 2 6 2" xfId="6770" xr:uid="{00000000-0005-0000-0000-0000E8100000}"/>
    <cellStyle name="Normal 2 4 7 2 6 2 2" xfId="15212" xr:uid="{FAAF5BCB-3E63-4C7D-B9C3-AA1C8DE0F50D}"/>
    <cellStyle name="Normal 2 4 7 2 6 3" xfId="10994" xr:uid="{BE9D2B6B-2E68-411F-936A-5EA4850A425F}"/>
    <cellStyle name="Normal 2 4 7 2 7" xfId="4704" xr:uid="{00000000-0005-0000-0000-0000E9100000}"/>
    <cellStyle name="Normal 2 4 7 2 7 2" xfId="13146" xr:uid="{69211748-82FC-4830-9BD4-1351EA8DB125}"/>
    <cellStyle name="Normal 2 4 7 2 8" xfId="8928" xr:uid="{48B120BD-B98D-48AA-A0A9-8D21397CAA3B}"/>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A1365880-33DD-46A0-9071-8717C0A268A6}"/>
    <cellStyle name="Normal 2 4 7 3 2 3" xfId="11486" xr:uid="{0A51DB43-519C-4CB7-8874-4200801AED2E}"/>
    <cellStyle name="Normal 2 4 7 3 3" xfId="5117" xr:uid="{00000000-0005-0000-0000-0000ED100000}"/>
    <cellStyle name="Normal 2 4 7 3 3 2" xfId="13559" xr:uid="{57F87F92-1CC6-4701-87A0-18D26686A0DB}"/>
    <cellStyle name="Normal 2 4 7 3 4" xfId="9341" xr:uid="{DCEAE588-6513-4639-9180-8EB74E81F35E}"/>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21C50245-C85B-4590-B874-24472BD062D7}"/>
    <cellStyle name="Normal 2 4 7 4 2 3" xfId="11899" xr:uid="{E05DDF34-44ED-4CB8-8A16-2EA47C30B261}"/>
    <cellStyle name="Normal 2 4 7 4 3" xfId="5530" xr:uid="{00000000-0005-0000-0000-0000F1100000}"/>
    <cellStyle name="Normal 2 4 7 4 3 2" xfId="13972" xr:uid="{5979CC92-7AD6-40ED-8F16-C307379E4FB2}"/>
    <cellStyle name="Normal 2 4 7 4 4" xfId="9754" xr:uid="{7B1FE054-5F79-4715-98B5-020FA3DF6050}"/>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E2D08C52-4D4E-40AC-B1D3-D8145966BE7C}"/>
    <cellStyle name="Normal 2 4 7 5 2 3" xfId="12312" xr:uid="{88BE888E-82E2-498B-9D46-8F6C39C28F9C}"/>
    <cellStyle name="Normal 2 4 7 5 3" xfId="5943" xr:uid="{00000000-0005-0000-0000-0000F5100000}"/>
    <cellStyle name="Normal 2 4 7 5 3 2" xfId="14385" xr:uid="{41471938-C955-4196-99AA-ED2087C5B64F}"/>
    <cellStyle name="Normal 2 4 7 5 4" xfId="10167" xr:uid="{88CDDE4F-5715-467F-AC95-4B4E836C97B7}"/>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13E0A36-A01E-4A04-914F-76A65EF13FC9}"/>
    <cellStyle name="Normal 2 4 7 6 2 3" xfId="12725" xr:uid="{69629E2C-7B5A-4360-8A5D-FBB4AD10F6D8}"/>
    <cellStyle name="Normal 2 4 7 6 3" xfId="6356" xr:uid="{00000000-0005-0000-0000-0000F9100000}"/>
    <cellStyle name="Normal 2 4 7 6 3 2" xfId="14798" xr:uid="{11B37B37-AE9C-4A58-B8D5-F2063472DD0B}"/>
    <cellStyle name="Normal 2 4 7 6 4" xfId="10580" xr:uid="{09D5C655-F02D-4E78-8D38-358653CD5C86}"/>
    <cellStyle name="Normal 2 4 7 7" xfId="2485" xr:uid="{00000000-0005-0000-0000-0000FA100000}"/>
    <cellStyle name="Normal 2 4 7 7 2" xfId="6769" xr:uid="{00000000-0005-0000-0000-0000FB100000}"/>
    <cellStyle name="Normal 2 4 7 7 2 2" xfId="15211" xr:uid="{8F9FD839-C943-4C58-910A-7212AAF9AEA7}"/>
    <cellStyle name="Normal 2 4 7 7 3" xfId="10993" xr:uid="{7DD333E4-AFAF-44DE-A592-5699D775EF9D}"/>
    <cellStyle name="Normal 2 4 7 8" xfId="4703" xr:uid="{00000000-0005-0000-0000-0000FC100000}"/>
    <cellStyle name="Normal 2 4 7 8 2" xfId="13145" xr:uid="{839B7E8B-057D-4868-8E13-5EEA6EA89407}"/>
    <cellStyle name="Normal 2 4 7 9" xfId="8927" xr:uid="{F60C26AD-DCB3-4403-9BB5-0580439973A4}"/>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ACB7371-DE05-465B-B4FB-4261831B80B2}"/>
    <cellStyle name="Normal 2 4 8 2 2 3" xfId="11488" xr:uid="{877EBD5D-9176-48D9-8761-A1374199EE19}"/>
    <cellStyle name="Normal 2 4 8 2 3" xfId="5119" xr:uid="{00000000-0005-0000-0000-000001110000}"/>
    <cellStyle name="Normal 2 4 8 2 3 2" xfId="13561" xr:uid="{7E299563-B9E6-4ADB-B308-F8C141F1F3F0}"/>
    <cellStyle name="Normal 2 4 8 2 4" xfId="9343" xr:uid="{AF2A3088-196E-4F0E-8B86-294669CF7BB7}"/>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BD12E0BD-5314-4FAE-B575-9EA3BFF493EA}"/>
    <cellStyle name="Normal 2 4 8 3 2 3" xfId="11901" xr:uid="{E8098E94-670C-4CF5-878E-32731AD0A022}"/>
    <cellStyle name="Normal 2 4 8 3 3" xfId="5532" xr:uid="{00000000-0005-0000-0000-000005110000}"/>
    <cellStyle name="Normal 2 4 8 3 3 2" xfId="13974" xr:uid="{A94198E3-2A43-4D0F-8438-1EE0CCF9CE32}"/>
    <cellStyle name="Normal 2 4 8 3 4" xfId="9756" xr:uid="{0AFF820E-AF68-4DC8-9A59-B14062EB00E7}"/>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5017907B-B9A5-49EA-A5FE-01C22016B2A8}"/>
    <cellStyle name="Normal 2 4 8 4 2 3" xfId="12314" xr:uid="{6B146ADA-2F19-443C-8106-8502D4E4C229}"/>
    <cellStyle name="Normal 2 4 8 4 3" xfId="5945" xr:uid="{00000000-0005-0000-0000-000009110000}"/>
    <cellStyle name="Normal 2 4 8 4 3 2" xfId="14387" xr:uid="{6D5126A6-6656-44D6-85AA-B1735DAC2F7D}"/>
    <cellStyle name="Normal 2 4 8 4 4" xfId="10169" xr:uid="{EB4DE6A9-23C2-47FC-A53E-BE434D4AB5CE}"/>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7C00D017-0D5E-41F5-B30A-1DF24C1074E0}"/>
    <cellStyle name="Normal 2 4 8 5 2 3" xfId="12727" xr:uid="{053E3BA3-E38E-45DA-B9AF-9D477462B7B0}"/>
    <cellStyle name="Normal 2 4 8 5 3" xfId="6358" xr:uid="{00000000-0005-0000-0000-00000D110000}"/>
    <cellStyle name="Normal 2 4 8 5 3 2" xfId="14800" xr:uid="{67458620-8091-4A9B-8E58-4F8B75DBA0B5}"/>
    <cellStyle name="Normal 2 4 8 5 4" xfId="10582" xr:uid="{763878A3-8C64-468F-820C-13B03E7F4872}"/>
    <cellStyle name="Normal 2 4 8 6" xfId="2487" xr:uid="{00000000-0005-0000-0000-00000E110000}"/>
    <cellStyle name="Normal 2 4 8 6 2" xfId="6771" xr:uid="{00000000-0005-0000-0000-00000F110000}"/>
    <cellStyle name="Normal 2 4 8 6 2 2" xfId="15213" xr:uid="{B41A3EFE-EA8A-4B6E-AE8C-D8B98A580D6D}"/>
    <cellStyle name="Normal 2 4 8 6 3" xfId="10995" xr:uid="{D91A308C-77AD-4C9C-B1B5-AC9ECB992999}"/>
    <cellStyle name="Normal 2 4 8 7" xfId="4705" xr:uid="{00000000-0005-0000-0000-000010110000}"/>
    <cellStyle name="Normal 2 4 8 7 2" xfId="13147" xr:uid="{37BC3E1A-55CE-40CA-A86B-FAC24D496CC6}"/>
    <cellStyle name="Normal 2 4 8 8" xfId="8929" xr:uid="{5EA3EE8B-A7E0-4BFA-9D40-DE77539DA4A5}"/>
    <cellStyle name="Normal 2 5" xfId="315" xr:uid="{00000000-0005-0000-0000-000011110000}"/>
    <cellStyle name="Normal 2 5 10" xfId="4706" xr:uid="{00000000-0005-0000-0000-000012110000}"/>
    <cellStyle name="Normal 2 5 10 2" xfId="13148" xr:uid="{ADD0ECEA-BE43-47C1-A677-084018E59D7E}"/>
    <cellStyle name="Normal 2 5 11" xfId="8930" xr:uid="{3E9D1812-7C0B-48C4-A3A3-D2D1DD30CFBA}"/>
    <cellStyle name="Normal 2 5 2" xfId="316" xr:uid="{00000000-0005-0000-0000-000013110000}"/>
    <cellStyle name="Normal 2 5 3" xfId="317" xr:uid="{00000000-0005-0000-0000-000014110000}"/>
    <cellStyle name="Normal 2 5 4" xfId="318" xr:uid="{00000000-0005-0000-0000-000015110000}"/>
    <cellStyle name="Normal 2 5 4 10" xfId="8931" xr:uid="{EEB429B4-0570-4E00-B074-40A3B48AEF47}"/>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42131714-AC3C-4A8A-B67C-4E3E065FA56F}"/>
    <cellStyle name="Normal 2 5 4 2 2 2 2 3" xfId="11492" xr:uid="{7D572249-4D0F-4CDA-AFF7-F21AB5808F45}"/>
    <cellStyle name="Normal 2 5 4 2 2 2 3" xfId="5123" xr:uid="{00000000-0005-0000-0000-00001B110000}"/>
    <cellStyle name="Normal 2 5 4 2 2 2 3 2" xfId="13565" xr:uid="{0BB2F095-7127-4945-89AF-DDFCC2FDA57D}"/>
    <cellStyle name="Normal 2 5 4 2 2 2 4" xfId="9347" xr:uid="{D4946ABF-EE4B-4810-BE42-770F4D570141}"/>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A7B45AB4-87AD-4F9E-93C4-16176910FF8D}"/>
    <cellStyle name="Normal 2 5 4 2 2 3 2 3" xfId="11905" xr:uid="{4B643260-ADB6-4E0E-88D9-39A0355D0D28}"/>
    <cellStyle name="Normal 2 5 4 2 2 3 3" xfId="5536" xr:uid="{00000000-0005-0000-0000-00001F110000}"/>
    <cellStyle name="Normal 2 5 4 2 2 3 3 2" xfId="13978" xr:uid="{8659EA4B-09B3-4D19-978D-FCE8ED78373B}"/>
    <cellStyle name="Normal 2 5 4 2 2 3 4" xfId="9760" xr:uid="{EB9E72B4-8B4A-4BE1-B447-16A1A58D64F8}"/>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DB68687F-F3AA-44DE-8D78-2C95E879ED8F}"/>
    <cellStyle name="Normal 2 5 4 2 2 4 2 3" xfId="12318" xr:uid="{23DE50C6-568B-43C2-82B5-B5A2A668F5FD}"/>
    <cellStyle name="Normal 2 5 4 2 2 4 3" xfId="5949" xr:uid="{00000000-0005-0000-0000-000023110000}"/>
    <cellStyle name="Normal 2 5 4 2 2 4 3 2" xfId="14391" xr:uid="{F885818E-8696-404B-AD0D-2EC8EE1CE1F4}"/>
    <cellStyle name="Normal 2 5 4 2 2 4 4" xfId="10173" xr:uid="{539B36F9-4B2D-4DD7-808C-52D377A6D6F4}"/>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62A6E0C5-0700-441D-BD33-0CB23C99C171}"/>
    <cellStyle name="Normal 2 5 4 2 2 5 2 3" xfId="12731" xr:uid="{59DC5AC1-F383-4DEA-B8E9-ADDB09FE77D4}"/>
    <cellStyle name="Normal 2 5 4 2 2 5 3" xfId="6362" xr:uid="{00000000-0005-0000-0000-000027110000}"/>
    <cellStyle name="Normal 2 5 4 2 2 5 3 2" xfId="14804" xr:uid="{5402F849-D13F-497D-B961-D8F23BAAA391}"/>
    <cellStyle name="Normal 2 5 4 2 2 5 4" xfId="10586" xr:uid="{DE94298A-9BA8-44BB-A2FB-8961A674A990}"/>
    <cellStyle name="Normal 2 5 4 2 2 6" xfId="2491" xr:uid="{00000000-0005-0000-0000-000028110000}"/>
    <cellStyle name="Normal 2 5 4 2 2 6 2" xfId="6775" xr:uid="{00000000-0005-0000-0000-000029110000}"/>
    <cellStyle name="Normal 2 5 4 2 2 6 2 2" xfId="15217" xr:uid="{37257AFF-69A2-4300-9B71-8148D71F1ABA}"/>
    <cellStyle name="Normal 2 5 4 2 2 6 3" xfId="10999" xr:uid="{6B7CCDB6-B359-40D8-8395-7073C7635840}"/>
    <cellStyle name="Normal 2 5 4 2 2 7" xfId="4709" xr:uid="{00000000-0005-0000-0000-00002A110000}"/>
    <cellStyle name="Normal 2 5 4 2 2 7 2" xfId="13151" xr:uid="{AA293817-F5FC-4754-A001-F7C8E592983F}"/>
    <cellStyle name="Normal 2 5 4 2 2 8" xfId="8933" xr:uid="{66A77797-FD0D-4F47-977F-54795CB15842}"/>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75FE31E3-EDE2-4BC5-A366-5BEBA2D28356}"/>
    <cellStyle name="Normal 2 5 4 2 3 2 3" xfId="11491" xr:uid="{18608366-3781-4F59-A4BA-2014A8F8272F}"/>
    <cellStyle name="Normal 2 5 4 2 3 3" xfId="5122" xr:uid="{00000000-0005-0000-0000-00002E110000}"/>
    <cellStyle name="Normal 2 5 4 2 3 3 2" xfId="13564" xr:uid="{DDBCE757-C2A3-4351-873F-573F38B37669}"/>
    <cellStyle name="Normal 2 5 4 2 3 4" xfId="9346" xr:uid="{5CC8A09F-8681-4963-B6BA-44CF6D80E2C9}"/>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3D9D09CF-DCBF-4EC3-AEC3-207393BFAEB2}"/>
    <cellStyle name="Normal 2 5 4 2 4 2 3" xfId="11904" xr:uid="{C107ACD9-D86B-45EB-B4A9-8EBAF9A7725C}"/>
    <cellStyle name="Normal 2 5 4 2 4 3" xfId="5535" xr:uid="{00000000-0005-0000-0000-000032110000}"/>
    <cellStyle name="Normal 2 5 4 2 4 3 2" xfId="13977" xr:uid="{BCB35E54-B603-403C-9A6D-F24F95CDC3C7}"/>
    <cellStyle name="Normal 2 5 4 2 4 4" xfId="9759" xr:uid="{05DC15FD-6E0F-4CED-9594-D187EACFB5F6}"/>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3A64C842-4CD6-4CF3-8A8D-F23F0C2CCC2B}"/>
    <cellStyle name="Normal 2 5 4 2 5 2 3" xfId="12317" xr:uid="{32396A69-E13E-40CB-BE9E-E46989C95FF9}"/>
    <cellStyle name="Normal 2 5 4 2 5 3" xfId="5948" xr:uid="{00000000-0005-0000-0000-000036110000}"/>
    <cellStyle name="Normal 2 5 4 2 5 3 2" xfId="14390" xr:uid="{57D20774-B272-4987-9EA3-A8504A0BCBBB}"/>
    <cellStyle name="Normal 2 5 4 2 5 4" xfId="10172" xr:uid="{870852E5-9B19-448D-B389-974E32765C3E}"/>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136E02A4-34DC-4219-B7B5-BA913B5A4616}"/>
    <cellStyle name="Normal 2 5 4 2 6 2 3" xfId="12730" xr:uid="{DEF9C64D-DBD5-41AD-8CC3-FA1AEFA7FD3C}"/>
    <cellStyle name="Normal 2 5 4 2 6 3" xfId="6361" xr:uid="{00000000-0005-0000-0000-00003A110000}"/>
    <cellStyle name="Normal 2 5 4 2 6 3 2" xfId="14803" xr:uid="{90A63B1D-46DA-4DF5-BBFD-CEC1014DFA1C}"/>
    <cellStyle name="Normal 2 5 4 2 6 4" xfId="10585" xr:uid="{09295154-3023-4EA0-AB63-243F3E362DB9}"/>
    <cellStyle name="Normal 2 5 4 2 7" xfId="2490" xr:uid="{00000000-0005-0000-0000-00003B110000}"/>
    <cellStyle name="Normal 2 5 4 2 7 2" xfId="6774" xr:uid="{00000000-0005-0000-0000-00003C110000}"/>
    <cellStyle name="Normal 2 5 4 2 7 2 2" xfId="15216" xr:uid="{E05FF73F-85FE-4536-B107-BBA5E3B05D3B}"/>
    <cellStyle name="Normal 2 5 4 2 7 3" xfId="10998" xr:uid="{BC24AA2C-1B96-47CE-A567-8D01967406F5}"/>
    <cellStyle name="Normal 2 5 4 2 8" xfId="4708" xr:uid="{00000000-0005-0000-0000-00003D110000}"/>
    <cellStyle name="Normal 2 5 4 2 8 2" xfId="13150" xr:uid="{EF099808-C88F-4C2C-84C6-B763C60D20AF}"/>
    <cellStyle name="Normal 2 5 4 2 9" xfId="8932" xr:uid="{8D6B7B8F-7B9D-479C-9456-0A7D2938BD21}"/>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3EEB06B5-05F4-477B-AF22-3D6DD8399392}"/>
    <cellStyle name="Normal 2 5 4 3 2 2 3" xfId="11493" xr:uid="{A0A8A95A-C20E-4D62-89DA-E0B2F3B6B650}"/>
    <cellStyle name="Normal 2 5 4 3 2 3" xfId="5124" xr:uid="{00000000-0005-0000-0000-000042110000}"/>
    <cellStyle name="Normal 2 5 4 3 2 3 2" xfId="13566" xr:uid="{CD8F25FD-54D1-4AF4-BAA4-F0F6428BEB8E}"/>
    <cellStyle name="Normal 2 5 4 3 2 4" xfId="9348" xr:uid="{1F0DAED8-166F-4EF6-871E-61DC756B9997}"/>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99A61C8B-C30E-4108-8F67-CFBE52F7F1A9}"/>
    <cellStyle name="Normal 2 5 4 3 3 2 3" xfId="11906" xr:uid="{930F4BCB-E946-444F-AB99-4CCA496AEEFC}"/>
    <cellStyle name="Normal 2 5 4 3 3 3" xfId="5537" xr:uid="{00000000-0005-0000-0000-000046110000}"/>
    <cellStyle name="Normal 2 5 4 3 3 3 2" xfId="13979" xr:uid="{2701BA94-BB3D-40FC-9208-A62965520852}"/>
    <cellStyle name="Normal 2 5 4 3 3 4" xfId="9761" xr:uid="{CBA101D9-288B-4701-83D7-32B3E0ED03F3}"/>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9F193712-3C51-41D2-9BB9-5373DED6C130}"/>
    <cellStyle name="Normal 2 5 4 3 4 2 3" xfId="12319" xr:uid="{9EE03470-8F60-4BE4-8639-F7004D0CCABE}"/>
    <cellStyle name="Normal 2 5 4 3 4 3" xfId="5950" xr:uid="{00000000-0005-0000-0000-00004A110000}"/>
    <cellStyle name="Normal 2 5 4 3 4 3 2" xfId="14392" xr:uid="{54503E35-1954-406B-9BCB-D045DCB66DA1}"/>
    <cellStyle name="Normal 2 5 4 3 4 4" xfId="10174" xr:uid="{73F43D62-6AAD-48B7-A99E-5029C47C536D}"/>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8E1C9E6-077D-4899-B7E9-18B3AF422F6B}"/>
    <cellStyle name="Normal 2 5 4 3 5 2 3" xfId="12732" xr:uid="{FBE52DCC-7F08-48EE-A8AD-5190E19B3708}"/>
    <cellStyle name="Normal 2 5 4 3 5 3" xfId="6363" xr:uid="{00000000-0005-0000-0000-00004E110000}"/>
    <cellStyle name="Normal 2 5 4 3 5 3 2" xfId="14805" xr:uid="{7248BF9A-7985-45BC-AF1A-F1B06334E285}"/>
    <cellStyle name="Normal 2 5 4 3 5 4" xfId="10587" xr:uid="{FE7EB6ED-6615-4B3B-A8E7-71ADF9479832}"/>
    <cellStyle name="Normal 2 5 4 3 6" xfId="2492" xr:uid="{00000000-0005-0000-0000-00004F110000}"/>
    <cellStyle name="Normal 2 5 4 3 6 2" xfId="6776" xr:uid="{00000000-0005-0000-0000-000050110000}"/>
    <cellStyle name="Normal 2 5 4 3 6 2 2" xfId="15218" xr:uid="{3BC1AE1C-D71E-406A-96D1-BF37C0A2B246}"/>
    <cellStyle name="Normal 2 5 4 3 6 3" xfId="11000" xr:uid="{FD3035A6-FEF2-44DB-A196-97494799D8EF}"/>
    <cellStyle name="Normal 2 5 4 3 7" xfId="4710" xr:uid="{00000000-0005-0000-0000-000051110000}"/>
    <cellStyle name="Normal 2 5 4 3 7 2" xfId="13152" xr:uid="{B7415F62-1D46-4743-82EF-359F3B8B371F}"/>
    <cellStyle name="Normal 2 5 4 3 8" xfId="8934" xr:uid="{D261965B-7358-4CB2-8F2B-F8BEB1EE7CBF}"/>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37FD3D44-55E1-4EEF-BB6B-C6097C5433E2}"/>
    <cellStyle name="Normal 2 5 4 4 2 3" xfId="11490" xr:uid="{2742C5DE-1FE5-48E1-960D-9CA135D45A07}"/>
    <cellStyle name="Normal 2 5 4 4 3" xfId="5121" xr:uid="{00000000-0005-0000-0000-000055110000}"/>
    <cellStyle name="Normal 2 5 4 4 3 2" xfId="13563" xr:uid="{EAD03836-5F30-4861-A07B-8D2F6FB1FB0E}"/>
    <cellStyle name="Normal 2 5 4 4 4" xfId="9345" xr:uid="{271E1727-F5A1-43E9-ADF4-6C46D9A0BC2F}"/>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AC8F74FA-EFFE-4105-88A7-716E5F8E7332}"/>
    <cellStyle name="Normal 2 5 4 5 2 3" xfId="11903" xr:uid="{1E5BCFA4-7CFD-40FA-9676-F419A1764D21}"/>
    <cellStyle name="Normal 2 5 4 5 3" xfId="5534" xr:uid="{00000000-0005-0000-0000-000059110000}"/>
    <cellStyle name="Normal 2 5 4 5 3 2" xfId="13976" xr:uid="{C4680B01-0F8D-4550-A94E-1D6F58893CC4}"/>
    <cellStyle name="Normal 2 5 4 5 4" xfId="9758" xr:uid="{13F151E3-9F55-453A-A324-A3603271DB77}"/>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C2A89893-53D8-4C08-9282-6B148D4F6DCD}"/>
    <cellStyle name="Normal 2 5 4 6 2 3" xfId="12316" xr:uid="{A521EBB7-D72A-45E1-A405-E6CAC93B4880}"/>
    <cellStyle name="Normal 2 5 4 6 3" xfId="5947" xr:uid="{00000000-0005-0000-0000-00005D110000}"/>
    <cellStyle name="Normal 2 5 4 6 3 2" xfId="14389" xr:uid="{E266416B-488A-4DCF-B3B7-AA0544CD78F5}"/>
    <cellStyle name="Normal 2 5 4 6 4" xfId="10171" xr:uid="{98D9AD6F-2252-421B-B622-2BA993976E52}"/>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A57EC591-EE9A-4FDA-97AA-2179FC38EFC6}"/>
    <cellStyle name="Normal 2 5 4 7 2 3" xfId="12729" xr:uid="{74CEF2BB-0FA2-423C-B853-09F58CADA7CF}"/>
    <cellStyle name="Normal 2 5 4 7 3" xfId="6360" xr:uid="{00000000-0005-0000-0000-000061110000}"/>
    <cellStyle name="Normal 2 5 4 7 3 2" xfId="14802" xr:uid="{11340AC4-7ADB-478E-9DE3-D482478AFBEB}"/>
    <cellStyle name="Normal 2 5 4 7 4" xfId="10584" xr:uid="{4290E672-B3E1-4F2B-8118-257D6738A2B6}"/>
    <cellStyle name="Normal 2 5 4 8" xfId="2489" xr:uid="{00000000-0005-0000-0000-000062110000}"/>
    <cellStyle name="Normal 2 5 4 8 2" xfId="6773" xr:uid="{00000000-0005-0000-0000-000063110000}"/>
    <cellStyle name="Normal 2 5 4 8 2 2" xfId="15215" xr:uid="{74E37C41-5EC9-4203-9E16-1BBBBA880B47}"/>
    <cellStyle name="Normal 2 5 4 8 3" xfId="10997" xr:uid="{D3982328-29EF-4391-9D41-7DD174BFC2F4}"/>
    <cellStyle name="Normal 2 5 4 9" xfId="4707" xr:uid="{00000000-0005-0000-0000-000064110000}"/>
    <cellStyle name="Normal 2 5 4 9 2" xfId="13149" xr:uid="{336239B1-99AC-467F-8961-B7968558CA7C}"/>
    <cellStyle name="Normal 2 5 5" xfId="803" xr:uid="{00000000-0005-0000-0000-000065110000}"/>
    <cellStyle name="Normal 2 5 5 2" xfId="3042" xr:uid="{00000000-0005-0000-0000-000066110000}"/>
    <cellStyle name="Normal 2 5 5 2 2" xfId="7265" xr:uid="{00000000-0005-0000-0000-000067110000}"/>
    <cellStyle name="Normal 2 5 5 2 2 2" xfId="15707" xr:uid="{F28A7BD8-9F5C-44F6-B97A-8AD1526F145D}"/>
    <cellStyle name="Normal 2 5 5 2 3" xfId="11489" xr:uid="{43851C8F-22D8-45A6-B1EF-E68B71685104}"/>
    <cellStyle name="Normal 2 5 5 3" xfId="5120" xr:uid="{00000000-0005-0000-0000-000068110000}"/>
    <cellStyle name="Normal 2 5 5 3 2" xfId="13562" xr:uid="{2351B266-077A-4F72-9E3D-247DBC28FD81}"/>
    <cellStyle name="Normal 2 5 5 4" xfId="9344" xr:uid="{B8F1B5FA-DDBE-40ED-829B-D3730C3690FA}"/>
    <cellStyle name="Normal 2 5 6" xfId="1225" xr:uid="{00000000-0005-0000-0000-000069110000}"/>
    <cellStyle name="Normal 2 5 6 2" xfId="3455" xr:uid="{00000000-0005-0000-0000-00006A110000}"/>
    <cellStyle name="Normal 2 5 6 2 2" xfId="7678" xr:uid="{00000000-0005-0000-0000-00006B110000}"/>
    <cellStyle name="Normal 2 5 6 2 2 2" xfId="16120" xr:uid="{69A4B721-783A-4A40-8452-F04AA80D9D4F}"/>
    <cellStyle name="Normal 2 5 6 2 3" xfId="11902" xr:uid="{2E49D498-6093-4C93-A136-265A3E4221D1}"/>
    <cellStyle name="Normal 2 5 6 3" xfId="5533" xr:uid="{00000000-0005-0000-0000-00006C110000}"/>
    <cellStyle name="Normal 2 5 6 3 2" xfId="13975" xr:uid="{D7DCBD50-F22B-4D79-90B1-2462A76CE5F1}"/>
    <cellStyle name="Normal 2 5 6 4" xfId="9757" xr:uid="{C5380AE3-1396-4764-903D-3EA2FA10F669}"/>
    <cellStyle name="Normal 2 5 7" xfId="1638" xr:uid="{00000000-0005-0000-0000-00006D110000}"/>
    <cellStyle name="Normal 2 5 7 2" xfId="3868" xr:uid="{00000000-0005-0000-0000-00006E110000}"/>
    <cellStyle name="Normal 2 5 7 2 2" xfId="8091" xr:uid="{00000000-0005-0000-0000-00006F110000}"/>
    <cellStyle name="Normal 2 5 7 2 2 2" xfId="16533" xr:uid="{FD8B8608-A297-49CA-8E3D-DB9CDF4CC8E7}"/>
    <cellStyle name="Normal 2 5 7 2 3" xfId="12315" xr:uid="{C3D229A8-A74C-47F3-AF80-7722692DD68B}"/>
    <cellStyle name="Normal 2 5 7 3" xfId="5946" xr:uid="{00000000-0005-0000-0000-000070110000}"/>
    <cellStyle name="Normal 2 5 7 3 2" xfId="14388" xr:uid="{F01DC92B-CDAD-4D65-B0A5-3EF25A27C2E7}"/>
    <cellStyle name="Normal 2 5 7 4" xfId="10170" xr:uid="{2108D555-C287-4852-AE6C-7C137EE5C5D0}"/>
    <cellStyle name="Normal 2 5 8" xfId="2052" xr:uid="{00000000-0005-0000-0000-000071110000}"/>
    <cellStyle name="Normal 2 5 8 2" xfId="4281" xr:uid="{00000000-0005-0000-0000-000072110000}"/>
    <cellStyle name="Normal 2 5 8 2 2" xfId="8504" xr:uid="{00000000-0005-0000-0000-000073110000}"/>
    <cellStyle name="Normal 2 5 8 2 2 2" xfId="16946" xr:uid="{A54456EB-854E-41A6-ADF3-25470D535F93}"/>
    <cellStyle name="Normal 2 5 8 2 3" xfId="12728" xr:uid="{77B67267-B6E1-4701-BABB-D6EF796E7450}"/>
    <cellStyle name="Normal 2 5 8 3" xfId="6359" xr:uid="{00000000-0005-0000-0000-000074110000}"/>
    <cellStyle name="Normal 2 5 8 3 2" xfId="14801" xr:uid="{6CBB7EAD-4DF4-452C-92C1-624483B979F0}"/>
    <cellStyle name="Normal 2 5 8 4" xfId="10583" xr:uid="{D5A1FB00-2DD1-4AF4-BD9E-D202DD3DB3E6}"/>
    <cellStyle name="Normal 2 5 9" xfId="2488" xr:uid="{00000000-0005-0000-0000-000075110000}"/>
    <cellStyle name="Normal 2 5 9 2" xfId="6772" xr:uid="{00000000-0005-0000-0000-000076110000}"/>
    <cellStyle name="Normal 2 5 9 2 2" xfId="15214" xr:uid="{C86D4EB0-C769-4415-8289-A848B1825DB9}"/>
    <cellStyle name="Normal 2 5 9 3" xfId="10996" xr:uid="{03AAC525-6FF8-4EB4-8641-1C630070074A}"/>
    <cellStyle name="Normal 2 6" xfId="322" xr:uid="{00000000-0005-0000-0000-000077110000}"/>
    <cellStyle name="Normal 2 7" xfId="769" xr:uid="{00000000-0005-0000-0000-000078110000}"/>
    <cellStyle name="Normal 2 8" xfId="4495" xr:uid="{00000000-0005-0000-0000-000079110000}"/>
    <cellStyle name="Normal 2 8 2" xfId="12940" xr:uid="{45173FE0-4ACD-43F6-B3B3-8450E968FCE7}"/>
    <cellStyle name="Normal 3" xfId="323" xr:uid="{00000000-0005-0000-0000-00007A110000}"/>
    <cellStyle name="Normal 3 2" xfId="324" xr:uid="{00000000-0005-0000-0000-00007B110000}"/>
    <cellStyle name="Normal 3 2 10" xfId="8935" xr:uid="{5DB296A0-6A7F-43D0-A98B-E82D3AB785D5}"/>
    <cellStyle name="Normal 3 2 2" xfId="325" xr:uid="{00000000-0005-0000-0000-00007C110000}"/>
    <cellStyle name="Normal 3 2 2 2" xfId="810" xr:uid="{00000000-0005-0000-0000-00007D110000}"/>
    <cellStyle name="Normal 3 2 3" xfId="326" xr:uid="{00000000-0005-0000-0000-00007E110000}"/>
    <cellStyle name="Normal 3 2 3 10" xfId="8936" xr:uid="{A1BB8DFA-ADE0-47FE-928F-9ECD2167B609}"/>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497F2F7C-2B50-4D20-8BC5-7CE5DC9CABF7}"/>
    <cellStyle name="Normal 3 2 3 2 2 2 2 3" xfId="11497" xr:uid="{92AA903E-0F64-4DEF-A2D9-30D86E1914CA}"/>
    <cellStyle name="Normal 3 2 3 2 2 2 3" xfId="5128" xr:uid="{00000000-0005-0000-0000-000084110000}"/>
    <cellStyle name="Normal 3 2 3 2 2 2 3 2" xfId="13570" xr:uid="{19140BB0-F40B-4159-9228-4C04728D01AA}"/>
    <cellStyle name="Normal 3 2 3 2 2 2 4" xfId="9352" xr:uid="{A1584DAF-D785-4B5D-83F5-36D14B54D4ED}"/>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82F9E8F5-9935-4C11-A02F-A82F4968B168}"/>
    <cellStyle name="Normal 3 2 3 2 2 3 2 3" xfId="11910" xr:uid="{A38202F9-EDA0-474C-89D1-17EE7EC11834}"/>
    <cellStyle name="Normal 3 2 3 2 2 3 3" xfId="5541" xr:uid="{00000000-0005-0000-0000-000088110000}"/>
    <cellStyle name="Normal 3 2 3 2 2 3 3 2" xfId="13983" xr:uid="{4268D578-19F6-4EB3-B8A1-20C352B4A699}"/>
    <cellStyle name="Normal 3 2 3 2 2 3 4" xfId="9765" xr:uid="{44E21290-615E-41EB-AE5F-83AAC1F879F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14E2EDBF-51D0-4A57-9AB8-E665BD3051E9}"/>
    <cellStyle name="Normal 3 2 3 2 2 4 2 3" xfId="12323" xr:uid="{531B1A82-BF72-4EB5-A7BB-C97E056B76FE}"/>
    <cellStyle name="Normal 3 2 3 2 2 4 3" xfId="5954" xr:uid="{00000000-0005-0000-0000-00008C110000}"/>
    <cellStyle name="Normal 3 2 3 2 2 4 3 2" xfId="14396" xr:uid="{2477CD79-D831-44E5-A712-70ED599C7872}"/>
    <cellStyle name="Normal 3 2 3 2 2 4 4" xfId="10178" xr:uid="{42D1C278-B917-4116-A000-B65F62A0001E}"/>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626AC184-A783-4F20-8895-F17ED8538EB4}"/>
    <cellStyle name="Normal 3 2 3 2 2 5 2 3" xfId="12736" xr:uid="{BF80ECC8-125D-4936-912F-B2A9B7104B61}"/>
    <cellStyle name="Normal 3 2 3 2 2 5 3" xfId="6367" xr:uid="{00000000-0005-0000-0000-000090110000}"/>
    <cellStyle name="Normal 3 2 3 2 2 5 3 2" xfId="14809" xr:uid="{70519F24-93AE-4C29-8EFB-171560069201}"/>
    <cellStyle name="Normal 3 2 3 2 2 5 4" xfId="10591" xr:uid="{E6B84BEA-6B8B-42CA-AA56-34126ABD0EAF}"/>
    <cellStyle name="Normal 3 2 3 2 2 6" xfId="2496" xr:uid="{00000000-0005-0000-0000-000091110000}"/>
    <cellStyle name="Normal 3 2 3 2 2 6 2" xfId="6780" xr:uid="{00000000-0005-0000-0000-000092110000}"/>
    <cellStyle name="Normal 3 2 3 2 2 6 2 2" xfId="15222" xr:uid="{24E3B274-3576-4C53-8286-1C84FE6C5256}"/>
    <cellStyle name="Normal 3 2 3 2 2 6 3" xfId="11004" xr:uid="{2FAD1CDD-225F-498A-BED2-E3844CEC5347}"/>
    <cellStyle name="Normal 3 2 3 2 2 7" xfId="4714" xr:uid="{00000000-0005-0000-0000-000093110000}"/>
    <cellStyle name="Normal 3 2 3 2 2 7 2" xfId="13156" xr:uid="{49386434-C7C3-4C1C-9912-DF62C46E3FED}"/>
    <cellStyle name="Normal 3 2 3 2 2 8" xfId="8938" xr:uid="{760FE2AD-58A0-41FF-A36D-222E3AD859E3}"/>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0AB5FFB4-9AD4-4F53-9105-12428DFB4550}"/>
    <cellStyle name="Normal 3 2 3 2 3 2 3" xfId="11496" xr:uid="{D739C9A3-307B-40EB-8E69-9880B3CCAE20}"/>
    <cellStyle name="Normal 3 2 3 2 3 3" xfId="5127" xr:uid="{00000000-0005-0000-0000-000097110000}"/>
    <cellStyle name="Normal 3 2 3 2 3 3 2" xfId="13569" xr:uid="{E188D1F4-69E3-498B-9C8B-63AAEA39378C}"/>
    <cellStyle name="Normal 3 2 3 2 3 4" xfId="9351" xr:uid="{C8F6951B-71AF-4943-AC78-E08B72E223E3}"/>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D089E077-A146-4C96-A722-6F2F9287D8FC}"/>
    <cellStyle name="Normal 3 2 3 2 4 2 3" xfId="11909" xr:uid="{2FE44AE7-14E4-4381-8A89-B9A3CE3ED6B2}"/>
    <cellStyle name="Normal 3 2 3 2 4 3" xfId="5540" xr:uid="{00000000-0005-0000-0000-00009B110000}"/>
    <cellStyle name="Normal 3 2 3 2 4 3 2" xfId="13982" xr:uid="{112A8672-AF93-4686-8C69-E5EDF8ACDBA8}"/>
    <cellStyle name="Normal 3 2 3 2 4 4" xfId="9764" xr:uid="{742BA28C-DFDA-4334-BD40-4E5561010F99}"/>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A4E8E571-1543-49D9-8492-0DFB37628A2C}"/>
    <cellStyle name="Normal 3 2 3 2 5 2 3" xfId="12322" xr:uid="{2C2138EB-5E48-4151-AA46-03F346C57DB6}"/>
    <cellStyle name="Normal 3 2 3 2 5 3" xfId="5953" xr:uid="{00000000-0005-0000-0000-00009F110000}"/>
    <cellStyle name="Normal 3 2 3 2 5 3 2" xfId="14395" xr:uid="{A5F19C88-DC1F-4A20-9EE2-768C40D7C058}"/>
    <cellStyle name="Normal 3 2 3 2 5 4" xfId="10177" xr:uid="{C3BBDB37-9795-4AC9-9CBE-FDDB89CC36E5}"/>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40BBE499-6F9C-4D0C-8DDB-A685B8014735}"/>
    <cellStyle name="Normal 3 2 3 2 6 2 3" xfId="12735" xr:uid="{53D71317-8A04-4823-849A-7970114799D2}"/>
    <cellStyle name="Normal 3 2 3 2 6 3" xfId="6366" xr:uid="{00000000-0005-0000-0000-0000A3110000}"/>
    <cellStyle name="Normal 3 2 3 2 6 3 2" xfId="14808" xr:uid="{FB2AB5E5-6B8E-4204-B8C6-CF8D61BEA211}"/>
    <cellStyle name="Normal 3 2 3 2 6 4" xfId="10590" xr:uid="{A0691CC5-DA7C-4E9B-AF26-A86B0CC95DC4}"/>
    <cellStyle name="Normal 3 2 3 2 7" xfId="2495" xr:uid="{00000000-0005-0000-0000-0000A4110000}"/>
    <cellStyle name="Normal 3 2 3 2 7 2" xfId="6779" xr:uid="{00000000-0005-0000-0000-0000A5110000}"/>
    <cellStyle name="Normal 3 2 3 2 7 2 2" xfId="15221" xr:uid="{80D723B4-B94A-405C-BA23-9AEA2233B42D}"/>
    <cellStyle name="Normal 3 2 3 2 7 3" xfId="11003" xr:uid="{1E7A90FB-0F79-419F-A611-F9513F82E9B4}"/>
    <cellStyle name="Normal 3 2 3 2 8" xfId="4713" xr:uid="{00000000-0005-0000-0000-0000A6110000}"/>
    <cellStyle name="Normal 3 2 3 2 8 2" xfId="13155" xr:uid="{2D36E61D-FFAC-494C-BD0A-6145A8083ACF}"/>
    <cellStyle name="Normal 3 2 3 2 9" xfId="8937" xr:uid="{48242CED-12FA-4B73-AAD4-0BC246B95DC1}"/>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E63AFA46-97FF-4F79-B4E2-00F1A9EEB824}"/>
    <cellStyle name="Normal 3 2 3 3 2 2 3" xfId="11498" xr:uid="{79D61DEB-5D88-4C5F-AA1C-34259BBCAC77}"/>
    <cellStyle name="Normal 3 2 3 3 2 3" xfId="5129" xr:uid="{00000000-0005-0000-0000-0000AB110000}"/>
    <cellStyle name="Normal 3 2 3 3 2 3 2" xfId="13571" xr:uid="{75AE5C4F-1F37-4466-8C1F-B43841C97FFE}"/>
    <cellStyle name="Normal 3 2 3 3 2 4" xfId="9353" xr:uid="{C80FA4FE-318F-46B9-8410-53A9AAF34DDF}"/>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0AD739A4-ACB1-44CD-80B8-5A5713AFF93E}"/>
    <cellStyle name="Normal 3 2 3 3 3 2 3" xfId="11911" xr:uid="{5B7C6077-C0D7-4142-8C60-8F2386018ABC}"/>
    <cellStyle name="Normal 3 2 3 3 3 3" xfId="5542" xr:uid="{00000000-0005-0000-0000-0000AF110000}"/>
    <cellStyle name="Normal 3 2 3 3 3 3 2" xfId="13984" xr:uid="{67D62CC3-1F56-43FD-AB45-CB3E7E19A0A6}"/>
    <cellStyle name="Normal 3 2 3 3 3 4" xfId="9766" xr:uid="{33F745AC-CC4B-430D-8C39-875B5F42C2A8}"/>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DBFACF6-2DCC-41F8-859B-EDD3DAD95896}"/>
    <cellStyle name="Normal 3 2 3 3 4 2 3" xfId="12324" xr:uid="{741C5548-966D-4CB9-9AFC-C9197A4C1C22}"/>
    <cellStyle name="Normal 3 2 3 3 4 3" xfId="5955" xr:uid="{00000000-0005-0000-0000-0000B3110000}"/>
    <cellStyle name="Normal 3 2 3 3 4 3 2" xfId="14397" xr:uid="{C387A405-7E10-420F-8542-48FA8380DD7B}"/>
    <cellStyle name="Normal 3 2 3 3 4 4" xfId="10179" xr:uid="{0D41E202-30B2-450B-A517-6951D5A75A37}"/>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550E3780-9EF9-4640-B8B1-BA723ED16A7B}"/>
    <cellStyle name="Normal 3 2 3 3 5 2 3" xfId="12737" xr:uid="{E268C49A-3CE9-4379-B998-104ADD2C8DB8}"/>
    <cellStyle name="Normal 3 2 3 3 5 3" xfId="6368" xr:uid="{00000000-0005-0000-0000-0000B7110000}"/>
    <cellStyle name="Normal 3 2 3 3 5 3 2" xfId="14810" xr:uid="{EE17D453-3967-49A3-A66F-5A653ED329C4}"/>
    <cellStyle name="Normal 3 2 3 3 5 4" xfId="10592" xr:uid="{CDB96E7C-FB4A-4E1B-B19E-8CB22BE41D50}"/>
    <cellStyle name="Normal 3 2 3 3 6" xfId="2497" xr:uid="{00000000-0005-0000-0000-0000B8110000}"/>
    <cellStyle name="Normal 3 2 3 3 6 2" xfId="6781" xr:uid="{00000000-0005-0000-0000-0000B9110000}"/>
    <cellStyle name="Normal 3 2 3 3 6 2 2" xfId="15223" xr:uid="{AF30621A-732F-497F-A4E7-CE096FA1EBA3}"/>
    <cellStyle name="Normal 3 2 3 3 6 3" xfId="11005" xr:uid="{AFA26F2B-23D9-4815-98E6-7EDA24EF157C}"/>
    <cellStyle name="Normal 3 2 3 3 7" xfId="4715" xr:uid="{00000000-0005-0000-0000-0000BA110000}"/>
    <cellStyle name="Normal 3 2 3 3 7 2" xfId="13157" xr:uid="{D27E1CA8-724C-4E21-B505-71F34C18B606}"/>
    <cellStyle name="Normal 3 2 3 3 8" xfId="8939" xr:uid="{773AB7BF-D54E-4D24-8645-6408A59F5C89}"/>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2CC706C9-E60B-4254-94FF-4A4D7E24064A}"/>
    <cellStyle name="Normal 3 2 3 4 2 3" xfId="11495" xr:uid="{97212128-2D60-4575-884A-284DF5C1AFE3}"/>
    <cellStyle name="Normal 3 2 3 4 3" xfId="5126" xr:uid="{00000000-0005-0000-0000-0000BE110000}"/>
    <cellStyle name="Normal 3 2 3 4 3 2" xfId="13568" xr:uid="{5B1CE933-918B-42A1-8388-F5F94D62E10E}"/>
    <cellStyle name="Normal 3 2 3 4 4" xfId="9350" xr:uid="{C5810092-2053-4C2A-8643-A4F6CB63E2F2}"/>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CC481257-5F60-42DF-A721-7513D0BAF37E}"/>
    <cellStyle name="Normal 3 2 3 5 2 3" xfId="11908" xr:uid="{440ED06F-2B7E-4F20-9EF9-BB22BA0EEA92}"/>
    <cellStyle name="Normal 3 2 3 5 3" xfId="5539" xr:uid="{00000000-0005-0000-0000-0000C2110000}"/>
    <cellStyle name="Normal 3 2 3 5 3 2" xfId="13981" xr:uid="{EACC666D-FCC7-4991-8EAD-037754C0AE15}"/>
    <cellStyle name="Normal 3 2 3 5 4" xfId="9763" xr:uid="{36C11D04-09D1-4074-870D-8A2474B633FE}"/>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17F8D056-FB50-49EB-B8B5-209C0394D727}"/>
    <cellStyle name="Normal 3 2 3 6 2 3" xfId="12321" xr:uid="{0FCAD77E-F48B-4EDD-8E13-AF63B7B514B9}"/>
    <cellStyle name="Normal 3 2 3 6 3" xfId="5952" xr:uid="{00000000-0005-0000-0000-0000C6110000}"/>
    <cellStyle name="Normal 3 2 3 6 3 2" xfId="14394" xr:uid="{6A72462B-8E41-4685-8439-0654A1306356}"/>
    <cellStyle name="Normal 3 2 3 6 4" xfId="10176" xr:uid="{86EFA4AE-2CEA-4BEC-9729-BC2F5303A7E8}"/>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0152F739-CC8C-49A4-B4FD-4218C5A57AAA}"/>
    <cellStyle name="Normal 3 2 3 7 2 3" xfId="12734" xr:uid="{2E8978E0-F261-464A-B847-66C1601E9B56}"/>
    <cellStyle name="Normal 3 2 3 7 3" xfId="6365" xr:uid="{00000000-0005-0000-0000-0000CA110000}"/>
    <cellStyle name="Normal 3 2 3 7 3 2" xfId="14807" xr:uid="{904F6F1E-771F-4AD5-87A2-5EBED145B635}"/>
    <cellStyle name="Normal 3 2 3 7 4" xfId="10589" xr:uid="{2FD3127C-AF91-4D57-9DAC-AC27DB4B618A}"/>
    <cellStyle name="Normal 3 2 3 8" xfId="2494" xr:uid="{00000000-0005-0000-0000-0000CB110000}"/>
    <cellStyle name="Normal 3 2 3 8 2" xfId="6778" xr:uid="{00000000-0005-0000-0000-0000CC110000}"/>
    <cellStyle name="Normal 3 2 3 8 2 2" xfId="15220" xr:uid="{21DCAFD1-57E0-49DD-AC43-1284A404B17F}"/>
    <cellStyle name="Normal 3 2 3 8 3" xfId="11002" xr:uid="{A00114FA-34E6-45B5-8092-1442D6CC0644}"/>
    <cellStyle name="Normal 3 2 3 9" xfId="4712" xr:uid="{00000000-0005-0000-0000-0000CD110000}"/>
    <cellStyle name="Normal 3 2 3 9 2" xfId="13154" xr:uid="{980C4D02-6C25-4C4C-B4DB-31AA61C79939}"/>
    <cellStyle name="Normal 3 2 4" xfId="809" xr:uid="{00000000-0005-0000-0000-0000CE110000}"/>
    <cellStyle name="Normal 3 2 4 2" xfId="3047" xr:uid="{00000000-0005-0000-0000-0000CF110000}"/>
    <cellStyle name="Normal 3 2 4 2 2" xfId="7270" xr:uid="{00000000-0005-0000-0000-0000D0110000}"/>
    <cellStyle name="Normal 3 2 4 2 2 2" xfId="15712" xr:uid="{FF3F4667-7094-4BC7-8B2F-AE81EE5E2C81}"/>
    <cellStyle name="Normal 3 2 4 2 3" xfId="11494" xr:uid="{6366BCEC-0F4C-477F-BB96-3523A83D2B39}"/>
    <cellStyle name="Normal 3 2 4 3" xfId="5125" xr:uid="{00000000-0005-0000-0000-0000D1110000}"/>
    <cellStyle name="Normal 3 2 4 3 2" xfId="13567" xr:uid="{4E86F7F2-DA03-4E6C-9609-E20AEE0C6D5A}"/>
    <cellStyle name="Normal 3 2 4 4" xfId="9349" xr:uid="{1FE1DD20-D5B4-4BAF-BFCA-6937F947226A}"/>
    <cellStyle name="Normal 3 2 5" xfId="1230" xr:uid="{00000000-0005-0000-0000-0000D2110000}"/>
    <cellStyle name="Normal 3 2 5 2" xfId="3460" xr:uid="{00000000-0005-0000-0000-0000D3110000}"/>
    <cellStyle name="Normal 3 2 5 2 2" xfId="7683" xr:uid="{00000000-0005-0000-0000-0000D4110000}"/>
    <cellStyle name="Normal 3 2 5 2 2 2" xfId="16125" xr:uid="{EBDDC47B-A7EC-480D-B126-784824691E6E}"/>
    <cellStyle name="Normal 3 2 5 2 3" xfId="11907" xr:uid="{5012B101-BB3D-481A-87C5-4EA992ADA09B}"/>
    <cellStyle name="Normal 3 2 5 3" xfId="5538" xr:uid="{00000000-0005-0000-0000-0000D5110000}"/>
    <cellStyle name="Normal 3 2 5 3 2" xfId="13980" xr:uid="{B4729AB3-AABF-4604-9BDC-84F9A42DA170}"/>
    <cellStyle name="Normal 3 2 5 4" xfId="9762" xr:uid="{DE0E1376-599B-4AD1-AA0F-E0B3D86A3512}"/>
    <cellStyle name="Normal 3 2 6" xfId="1643" xr:uid="{00000000-0005-0000-0000-0000D6110000}"/>
    <cellStyle name="Normal 3 2 6 2" xfId="3873" xr:uid="{00000000-0005-0000-0000-0000D7110000}"/>
    <cellStyle name="Normal 3 2 6 2 2" xfId="8096" xr:uid="{00000000-0005-0000-0000-0000D8110000}"/>
    <cellStyle name="Normal 3 2 6 2 2 2" xfId="16538" xr:uid="{6A558938-6D03-47CF-BAB3-E21CF9F222E5}"/>
    <cellStyle name="Normal 3 2 6 2 3" xfId="12320" xr:uid="{DA9D8C36-A2CC-4954-A80F-30E7078003DC}"/>
    <cellStyle name="Normal 3 2 6 3" xfId="5951" xr:uid="{00000000-0005-0000-0000-0000D9110000}"/>
    <cellStyle name="Normal 3 2 6 3 2" xfId="14393" xr:uid="{B8D0E5CF-7A2A-452B-A802-530BBBB335CB}"/>
    <cellStyle name="Normal 3 2 6 4" xfId="10175" xr:uid="{58075EFB-A477-41CC-9DED-29FC6C367583}"/>
    <cellStyle name="Normal 3 2 7" xfId="2057" xr:uid="{00000000-0005-0000-0000-0000DA110000}"/>
    <cellStyle name="Normal 3 2 7 2" xfId="4286" xr:uid="{00000000-0005-0000-0000-0000DB110000}"/>
    <cellStyle name="Normal 3 2 7 2 2" xfId="8509" xr:uid="{00000000-0005-0000-0000-0000DC110000}"/>
    <cellStyle name="Normal 3 2 7 2 2 2" xfId="16951" xr:uid="{34FE8045-33F9-44BB-A513-9877A2DA908A}"/>
    <cellStyle name="Normal 3 2 7 2 3" xfId="12733" xr:uid="{F48025CE-2885-4E2F-B695-50E14A5FBAFD}"/>
    <cellStyle name="Normal 3 2 7 3" xfId="6364" xr:uid="{00000000-0005-0000-0000-0000DD110000}"/>
    <cellStyle name="Normal 3 2 7 3 2" xfId="14806" xr:uid="{DF9BA3EB-1E3A-40F0-AE33-0D67CC0E0C4B}"/>
    <cellStyle name="Normal 3 2 7 4" xfId="10588" xr:uid="{1305A747-78D2-4DDA-9D53-F6EA33D347FC}"/>
    <cellStyle name="Normal 3 2 8" xfId="2493" xr:uid="{00000000-0005-0000-0000-0000DE110000}"/>
    <cellStyle name="Normal 3 2 8 2" xfId="6777" xr:uid="{00000000-0005-0000-0000-0000DF110000}"/>
    <cellStyle name="Normal 3 2 8 2 2" xfId="15219" xr:uid="{D05F71EF-11B0-487A-8388-F84359B5D3F5}"/>
    <cellStyle name="Normal 3 2 8 3" xfId="11001" xr:uid="{5E08C66D-4F54-4F50-B961-9605DFD97316}"/>
    <cellStyle name="Normal 3 2 9" xfId="4711" xr:uid="{00000000-0005-0000-0000-0000E0110000}"/>
    <cellStyle name="Normal 3 2 9 2" xfId="13153" xr:uid="{C2BAD9E8-1A7F-4195-AF97-03B62E7BEAB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BEE691C6-21B5-40BF-B987-13609910B1C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B423AAA2-1B70-441A-9600-73D5D6DB97F6}"/>
    <cellStyle name="Normal 4 2 2 10 2 3" xfId="12738" xr:uid="{B914A136-4558-4405-A328-663D3FA62927}"/>
    <cellStyle name="Normal 4 2 2 10 3" xfId="6369" xr:uid="{00000000-0005-0000-0000-0000ED110000}"/>
    <cellStyle name="Normal 4 2 2 10 3 2" xfId="14811" xr:uid="{30E49F50-731D-4825-9AB6-02D848D50217}"/>
    <cellStyle name="Normal 4 2 2 10 4" xfId="10593" xr:uid="{02D7B522-4C09-44FC-8AC7-54F515070EB2}"/>
    <cellStyle name="Normal 4 2 2 11" xfId="2498" xr:uid="{00000000-0005-0000-0000-0000EE110000}"/>
    <cellStyle name="Normal 4 2 2 11 2" xfId="6782" xr:uid="{00000000-0005-0000-0000-0000EF110000}"/>
    <cellStyle name="Normal 4 2 2 11 2 2" xfId="15224" xr:uid="{47D54435-6E62-4BE7-85BD-8CB83C7DB3FD}"/>
    <cellStyle name="Normal 4 2 2 11 3" xfId="11006" xr:uid="{1259643A-4C93-411B-8875-5C26F13088B1}"/>
    <cellStyle name="Normal 4 2 2 12" xfId="4717" xr:uid="{00000000-0005-0000-0000-0000F0110000}"/>
    <cellStyle name="Normal 4 2 2 12 2" xfId="13159" xr:uid="{AECE6C1A-37FC-45E3-B5B3-3977796D9D8C}"/>
    <cellStyle name="Normal 4 2 2 13" xfId="8941" xr:uid="{3A59B9E2-987C-4816-86B2-5452DDBED245}"/>
    <cellStyle name="Normal 4 2 2 2" xfId="338" xr:uid="{00000000-0005-0000-0000-0000F1110000}"/>
    <cellStyle name="Normal 4 2 2 3" xfId="339" xr:uid="{00000000-0005-0000-0000-0000F2110000}"/>
    <cellStyle name="Normal 4 2 2 3 10" xfId="4718" xr:uid="{00000000-0005-0000-0000-0000F3110000}"/>
    <cellStyle name="Normal 4 2 2 3 10 2" xfId="13160" xr:uid="{B0ED8470-D03B-4951-A7B4-0823FF6E8482}"/>
    <cellStyle name="Normal 4 2 2 3 11" xfId="8942" xr:uid="{27207892-CA49-4629-86A8-984E8D0C537F}"/>
    <cellStyle name="Normal 4 2 2 3 2" xfId="340" xr:uid="{00000000-0005-0000-0000-0000F4110000}"/>
    <cellStyle name="Normal 4 2 2 3 2 10" xfId="8943" xr:uid="{025D79F5-855F-466D-953E-9C69DC751169}"/>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3D7AE8C0-85A1-4DFE-A47F-51580DD5261F}"/>
    <cellStyle name="Normal 4 2 2 3 2 2 2 2 2 3" xfId="11503" xr:uid="{8821FB20-1FC0-4E2F-90F5-1DEA3691C3DE}"/>
    <cellStyle name="Normal 4 2 2 3 2 2 2 2 3" xfId="5134" xr:uid="{00000000-0005-0000-0000-0000FA110000}"/>
    <cellStyle name="Normal 4 2 2 3 2 2 2 2 3 2" xfId="13576" xr:uid="{A27459DE-8E87-47E0-A5A9-303365489540}"/>
    <cellStyle name="Normal 4 2 2 3 2 2 2 2 4" xfId="9358" xr:uid="{5D34B0DF-2476-42B6-A76D-F9D864F04DDC}"/>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4C6EDDE9-671E-40C9-89F8-C030A4A8F94B}"/>
    <cellStyle name="Normal 4 2 2 3 2 2 2 3 2 3" xfId="11916" xr:uid="{12F61142-7AC8-4F08-B7C9-CF10DBF39CA1}"/>
    <cellStyle name="Normal 4 2 2 3 2 2 2 3 3" xfId="5547" xr:uid="{00000000-0005-0000-0000-0000FE110000}"/>
    <cellStyle name="Normal 4 2 2 3 2 2 2 3 3 2" xfId="13989" xr:uid="{B67F48F5-7716-4B79-BBB8-90B76323875D}"/>
    <cellStyle name="Normal 4 2 2 3 2 2 2 3 4" xfId="9771" xr:uid="{6D126711-A544-47B2-AA53-91B37202F449}"/>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285D8A2D-71F5-403E-880B-391A562E7508}"/>
    <cellStyle name="Normal 4 2 2 3 2 2 2 4 2 3" xfId="12329" xr:uid="{2B1A68F1-4242-47B9-BC2B-00933618E27C}"/>
    <cellStyle name="Normal 4 2 2 3 2 2 2 4 3" xfId="5960" xr:uid="{00000000-0005-0000-0000-000002120000}"/>
    <cellStyle name="Normal 4 2 2 3 2 2 2 4 3 2" xfId="14402" xr:uid="{BE9C8E58-E5D8-4A26-A185-6DDB1C3E3C9E}"/>
    <cellStyle name="Normal 4 2 2 3 2 2 2 4 4" xfId="10184" xr:uid="{2C025B40-C26E-4357-ACDB-DBF5953746CF}"/>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0FB11EF7-C849-42AD-A2C8-EB3DB6F61B2E}"/>
    <cellStyle name="Normal 4 2 2 3 2 2 2 5 2 3" xfId="12742" xr:uid="{7AE67BC6-C829-4F12-A49B-04BDCD635F5A}"/>
    <cellStyle name="Normal 4 2 2 3 2 2 2 5 3" xfId="6373" xr:uid="{00000000-0005-0000-0000-000006120000}"/>
    <cellStyle name="Normal 4 2 2 3 2 2 2 5 3 2" xfId="14815" xr:uid="{F58030F7-2F1A-4BA7-9CF5-59D9F5C00059}"/>
    <cellStyle name="Normal 4 2 2 3 2 2 2 5 4" xfId="10597" xr:uid="{E1456E28-C0EE-454F-A1B7-1EDD1263C91B}"/>
    <cellStyle name="Normal 4 2 2 3 2 2 2 6" xfId="2502" xr:uid="{00000000-0005-0000-0000-000007120000}"/>
    <cellStyle name="Normal 4 2 2 3 2 2 2 6 2" xfId="6786" xr:uid="{00000000-0005-0000-0000-000008120000}"/>
    <cellStyle name="Normal 4 2 2 3 2 2 2 6 2 2" xfId="15228" xr:uid="{08B3E376-3403-4A91-8A2C-3D1927485DE1}"/>
    <cellStyle name="Normal 4 2 2 3 2 2 2 6 3" xfId="11010" xr:uid="{056C2D75-FA7B-4B8F-9D41-A16D43CF773A}"/>
    <cellStyle name="Normal 4 2 2 3 2 2 2 7" xfId="4721" xr:uid="{00000000-0005-0000-0000-000009120000}"/>
    <cellStyle name="Normal 4 2 2 3 2 2 2 7 2" xfId="13163" xr:uid="{2E73FA79-360C-400E-9FAA-992E61421F3E}"/>
    <cellStyle name="Normal 4 2 2 3 2 2 2 8" xfId="8945" xr:uid="{132DB6B2-CA4D-40EE-89FE-28E349EF20DF}"/>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1F4ADC17-E71F-4EC7-AAD4-7C08DA0D268C}"/>
    <cellStyle name="Normal 4 2 2 3 2 2 3 2 3" xfId="11502" xr:uid="{ECEA1250-207B-4732-A61E-37F759DDF01A}"/>
    <cellStyle name="Normal 4 2 2 3 2 2 3 3" xfId="5133" xr:uid="{00000000-0005-0000-0000-00000D120000}"/>
    <cellStyle name="Normal 4 2 2 3 2 2 3 3 2" xfId="13575" xr:uid="{B7EF32A6-6AB3-4D85-A490-8496BC48772D}"/>
    <cellStyle name="Normal 4 2 2 3 2 2 3 4" xfId="9357" xr:uid="{FFA45EEF-161A-42BB-876D-B8010E48CC0A}"/>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144049C6-97CB-48FF-BEF0-B36015A1EA5A}"/>
    <cellStyle name="Normal 4 2 2 3 2 2 4 2 3" xfId="11915" xr:uid="{57B19F78-4940-403A-9077-D657A1026446}"/>
    <cellStyle name="Normal 4 2 2 3 2 2 4 3" xfId="5546" xr:uid="{00000000-0005-0000-0000-000011120000}"/>
    <cellStyle name="Normal 4 2 2 3 2 2 4 3 2" xfId="13988" xr:uid="{44C66668-CE02-492D-A309-8D83FF4D8082}"/>
    <cellStyle name="Normal 4 2 2 3 2 2 4 4" xfId="9770" xr:uid="{5EA8BA42-CDED-4A59-BF98-3DAB32B2A56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F778EF31-BED5-4F36-8486-F2272EECC2C1}"/>
    <cellStyle name="Normal 4 2 2 3 2 2 5 2 3" xfId="12328" xr:uid="{3A60134C-D645-4369-A7FC-A9CB75AA41D8}"/>
    <cellStyle name="Normal 4 2 2 3 2 2 5 3" xfId="5959" xr:uid="{00000000-0005-0000-0000-000015120000}"/>
    <cellStyle name="Normal 4 2 2 3 2 2 5 3 2" xfId="14401" xr:uid="{6E0A8794-DF5C-418F-B5C9-727A4F25576D}"/>
    <cellStyle name="Normal 4 2 2 3 2 2 5 4" xfId="10183" xr:uid="{71337200-0893-450C-A97E-20C18F00537B}"/>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AFEFDE1F-2F15-4D6E-905D-261FCC95260C}"/>
    <cellStyle name="Normal 4 2 2 3 2 2 6 2 3" xfId="12741" xr:uid="{36925F22-A0D0-44E3-9F04-CCBCF0B98FBA}"/>
    <cellStyle name="Normal 4 2 2 3 2 2 6 3" xfId="6372" xr:uid="{00000000-0005-0000-0000-000019120000}"/>
    <cellStyle name="Normal 4 2 2 3 2 2 6 3 2" xfId="14814" xr:uid="{FB2AD78E-862A-45F6-A00C-2BB627E91DEC}"/>
    <cellStyle name="Normal 4 2 2 3 2 2 6 4" xfId="10596" xr:uid="{64600842-32A5-4C58-BB65-4942C3679052}"/>
    <cellStyle name="Normal 4 2 2 3 2 2 7" xfId="2501" xr:uid="{00000000-0005-0000-0000-00001A120000}"/>
    <cellStyle name="Normal 4 2 2 3 2 2 7 2" xfId="6785" xr:uid="{00000000-0005-0000-0000-00001B120000}"/>
    <cellStyle name="Normal 4 2 2 3 2 2 7 2 2" xfId="15227" xr:uid="{C0285F1D-1BE6-4BA7-9F0C-E29B3BA2D34E}"/>
    <cellStyle name="Normal 4 2 2 3 2 2 7 3" xfId="11009" xr:uid="{7317E52F-BC01-4109-846E-156EF37C50F9}"/>
    <cellStyle name="Normal 4 2 2 3 2 2 8" xfId="4720" xr:uid="{00000000-0005-0000-0000-00001C120000}"/>
    <cellStyle name="Normal 4 2 2 3 2 2 8 2" xfId="13162" xr:uid="{D0A0C170-0F87-4D36-89FE-EE5704898C5F}"/>
    <cellStyle name="Normal 4 2 2 3 2 2 9" xfId="8944" xr:uid="{A92AD172-AE29-4205-9440-5489E125DF5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35614E4E-B506-4A52-A86B-DC98267055D4}"/>
    <cellStyle name="Normal 4 2 2 3 2 3 2 2 3" xfId="11504" xr:uid="{E39AE334-08F4-42BC-88F5-41912552DAD6}"/>
    <cellStyle name="Normal 4 2 2 3 2 3 2 3" xfId="5135" xr:uid="{00000000-0005-0000-0000-000021120000}"/>
    <cellStyle name="Normal 4 2 2 3 2 3 2 3 2" xfId="13577" xr:uid="{F6DB1EF0-E47C-4E48-ADDE-9F378E9BAB54}"/>
    <cellStyle name="Normal 4 2 2 3 2 3 2 4" xfId="9359" xr:uid="{3F0F341F-D223-4D14-A73B-5E947669F3DC}"/>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E8D0C20E-1DB3-4B80-B13B-209215FAA51B}"/>
    <cellStyle name="Normal 4 2 2 3 2 3 3 2 3" xfId="11917" xr:uid="{A89B1109-B76B-42D2-9565-F23A3C2A96B0}"/>
    <cellStyle name="Normal 4 2 2 3 2 3 3 3" xfId="5548" xr:uid="{00000000-0005-0000-0000-000025120000}"/>
    <cellStyle name="Normal 4 2 2 3 2 3 3 3 2" xfId="13990" xr:uid="{41E02D22-9EC0-4576-9381-45ACF0607F78}"/>
    <cellStyle name="Normal 4 2 2 3 2 3 3 4" xfId="9772" xr:uid="{CB974ACC-A0A5-4835-8259-96796A94DAE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04ABC9F3-DD13-4323-A8C0-8AF391978063}"/>
    <cellStyle name="Normal 4 2 2 3 2 3 4 2 3" xfId="12330" xr:uid="{B0DD8CED-84E8-4721-A967-9D7651A02A87}"/>
    <cellStyle name="Normal 4 2 2 3 2 3 4 3" xfId="5961" xr:uid="{00000000-0005-0000-0000-000029120000}"/>
    <cellStyle name="Normal 4 2 2 3 2 3 4 3 2" xfId="14403" xr:uid="{F2B3E2BD-26CB-4EFD-BD8A-E55D38F9634B}"/>
    <cellStyle name="Normal 4 2 2 3 2 3 4 4" xfId="10185" xr:uid="{A600F031-82C4-41B0-9BD9-3DDE7B0C1EA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ADE3FDC9-7653-4ACF-AB26-9E92DB16C3D6}"/>
    <cellStyle name="Normal 4 2 2 3 2 3 5 2 3" xfId="12743" xr:uid="{F5D49B02-CFA3-454E-ABA0-7630480601E8}"/>
    <cellStyle name="Normal 4 2 2 3 2 3 5 3" xfId="6374" xr:uid="{00000000-0005-0000-0000-00002D120000}"/>
    <cellStyle name="Normal 4 2 2 3 2 3 5 3 2" xfId="14816" xr:uid="{6D914240-CDD2-4FB5-B506-3E5A3305A8E1}"/>
    <cellStyle name="Normal 4 2 2 3 2 3 5 4" xfId="10598" xr:uid="{9A314212-0AA7-4BCB-96AD-0B862390EF58}"/>
    <cellStyle name="Normal 4 2 2 3 2 3 6" xfId="2503" xr:uid="{00000000-0005-0000-0000-00002E120000}"/>
    <cellStyle name="Normal 4 2 2 3 2 3 6 2" xfId="6787" xr:uid="{00000000-0005-0000-0000-00002F120000}"/>
    <cellStyle name="Normal 4 2 2 3 2 3 6 2 2" xfId="15229" xr:uid="{3FC076F9-466D-4D1A-AE7F-5F37BEC54809}"/>
    <cellStyle name="Normal 4 2 2 3 2 3 6 3" xfId="11011" xr:uid="{7068148A-FA1D-4914-9408-38266899F82E}"/>
    <cellStyle name="Normal 4 2 2 3 2 3 7" xfId="4722" xr:uid="{00000000-0005-0000-0000-000030120000}"/>
    <cellStyle name="Normal 4 2 2 3 2 3 7 2" xfId="13164" xr:uid="{4089C32B-1796-4A8B-83F8-1DD297D538E8}"/>
    <cellStyle name="Normal 4 2 2 3 2 3 8" xfId="8946" xr:uid="{9178B036-643F-45E9-9236-788264553485}"/>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3F400D4-D097-4104-86E8-D147550E51AC}"/>
    <cellStyle name="Normal 4 2 2 3 2 4 2 3" xfId="11501" xr:uid="{616E5554-0C78-4B44-88C8-18046CEF5EC6}"/>
    <cellStyle name="Normal 4 2 2 3 2 4 3" xfId="5132" xr:uid="{00000000-0005-0000-0000-000034120000}"/>
    <cellStyle name="Normal 4 2 2 3 2 4 3 2" xfId="13574" xr:uid="{7AAD29B7-4F8C-41D3-A821-761D1AB328AA}"/>
    <cellStyle name="Normal 4 2 2 3 2 4 4" xfId="9356" xr:uid="{2ACC0F5C-B1D0-4B46-B95A-300E1B5D731E}"/>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4CD0F9F2-29F3-4A2E-9675-775E049D6252}"/>
    <cellStyle name="Normal 4 2 2 3 2 5 2 3" xfId="11914" xr:uid="{163FDEC1-DF47-454B-A5A3-B93ED698F6CC}"/>
    <cellStyle name="Normal 4 2 2 3 2 5 3" xfId="5545" xr:uid="{00000000-0005-0000-0000-000038120000}"/>
    <cellStyle name="Normal 4 2 2 3 2 5 3 2" xfId="13987" xr:uid="{D076B2C0-C808-461A-BA4B-AE3084D41DAD}"/>
    <cellStyle name="Normal 4 2 2 3 2 5 4" xfId="9769" xr:uid="{ABA99E93-71B3-45B2-82D9-BD87328BF92B}"/>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5332C8C5-84F4-432A-B79D-C5BC0DA033AF}"/>
    <cellStyle name="Normal 4 2 2 3 2 6 2 3" xfId="12327" xr:uid="{689EC7E8-C835-4942-B038-CAC75A3880C9}"/>
    <cellStyle name="Normal 4 2 2 3 2 6 3" xfId="5958" xr:uid="{00000000-0005-0000-0000-00003C120000}"/>
    <cellStyle name="Normal 4 2 2 3 2 6 3 2" xfId="14400" xr:uid="{C6755414-7B75-480E-B17E-A10C0E4D567D}"/>
    <cellStyle name="Normal 4 2 2 3 2 6 4" xfId="10182" xr:uid="{8CF8F4F7-95A7-48D8-BCA6-A05D0F5D9D87}"/>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26C7FBDC-22BF-46C0-BE3C-4A40B878FF88}"/>
    <cellStyle name="Normal 4 2 2 3 2 7 2 3" xfId="12740" xr:uid="{E1109724-7F7C-4738-A9F1-902ED24CF592}"/>
    <cellStyle name="Normal 4 2 2 3 2 7 3" xfId="6371" xr:uid="{00000000-0005-0000-0000-000040120000}"/>
    <cellStyle name="Normal 4 2 2 3 2 7 3 2" xfId="14813" xr:uid="{1998F95F-CC6C-45C9-A269-A3AACE86337E}"/>
    <cellStyle name="Normal 4 2 2 3 2 7 4" xfId="10595" xr:uid="{490E1BB4-A43A-4E20-A157-C75A77D1A2BB}"/>
    <cellStyle name="Normal 4 2 2 3 2 8" xfId="2500" xr:uid="{00000000-0005-0000-0000-000041120000}"/>
    <cellStyle name="Normal 4 2 2 3 2 8 2" xfId="6784" xr:uid="{00000000-0005-0000-0000-000042120000}"/>
    <cellStyle name="Normal 4 2 2 3 2 8 2 2" xfId="15226" xr:uid="{E4D3B070-B266-4D97-AF30-50216F265040}"/>
    <cellStyle name="Normal 4 2 2 3 2 8 3" xfId="11008" xr:uid="{1E88236F-1617-49E7-A893-98E3408CD550}"/>
    <cellStyle name="Normal 4 2 2 3 2 9" xfId="4719" xr:uid="{00000000-0005-0000-0000-000043120000}"/>
    <cellStyle name="Normal 4 2 2 3 2 9 2" xfId="13161" xr:uid="{38703D74-64AB-4664-B2A5-5BEF4E71EDB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B4BA4813-F134-4BFF-9CBA-7DAEEA49FD62}"/>
    <cellStyle name="Normal 4 2 2 3 3 2 2 2 3" xfId="11506" xr:uid="{3113FCD0-9CEB-4B09-B69C-CDDE37DB4335}"/>
    <cellStyle name="Normal 4 2 2 3 3 2 2 3" xfId="5137" xr:uid="{00000000-0005-0000-0000-000049120000}"/>
    <cellStyle name="Normal 4 2 2 3 3 2 2 3 2" xfId="13579" xr:uid="{65D091DB-4BDD-4C4D-8B8D-3B297D5ADBEA}"/>
    <cellStyle name="Normal 4 2 2 3 3 2 2 4" xfId="9361" xr:uid="{20FA18A2-E70E-400F-B9D6-FF2C72E65BE1}"/>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3AB51404-39DE-4902-B009-4C196BDFD02D}"/>
    <cellStyle name="Normal 4 2 2 3 3 2 3 2 3" xfId="11919" xr:uid="{1CBCA7EA-7559-40C2-B8CE-D5DA5CC5B234}"/>
    <cellStyle name="Normal 4 2 2 3 3 2 3 3" xfId="5550" xr:uid="{00000000-0005-0000-0000-00004D120000}"/>
    <cellStyle name="Normal 4 2 2 3 3 2 3 3 2" xfId="13992" xr:uid="{3BAD07E1-5A3F-48D0-AFB0-555A524A49BE}"/>
    <cellStyle name="Normal 4 2 2 3 3 2 3 4" xfId="9774" xr:uid="{316198A3-CA3B-4D34-AF81-D0680182226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12142991-7A6C-451D-8168-6CDF204FBCA5}"/>
    <cellStyle name="Normal 4 2 2 3 3 2 4 2 3" xfId="12332" xr:uid="{C3160FF1-751F-43D1-B5FE-BA1E5730964D}"/>
    <cellStyle name="Normal 4 2 2 3 3 2 4 3" xfId="5963" xr:uid="{00000000-0005-0000-0000-000051120000}"/>
    <cellStyle name="Normal 4 2 2 3 3 2 4 3 2" xfId="14405" xr:uid="{02D7F97E-F8FC-43D1-82A7-2C876A67F704}"/>
    <cellStyle name="Normal 4 2 2 3 3 2 4 4" xfId="10187" xr:uid="{85145392-7B89-4E9B-AA09-62614075D634}"/>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2A608827-5693-45DB-B32B-7250F0291C6B}"/>
    <cellStyle name="Normal 4 2 2 3 3 2 5 2 3" xfId="12745" xr:uid="{0E8848E9-5BDF-4E43-A0A0-B73C1CA29F26}"/>
    <cellStyle name="Normal 4 2 2 3 3 2 5 3" xfId="6376" xr:uid="{00000000-0005-0000-0000-000055120000}"/>
    <cellStyle name="Normal 4 2 2 3 3 2 5 3 2" xfId="14818" xr:uid="{BCC1BDEB-079B-476A-92C0-E6D5F473AC11}"/>
    <cellStyle name="Normal 4 2 2 3 3 2 5 4" xfId="10600" xr:uid="{95C3A8AA-0F8C-4FFC-AFEF-17FBB635FD47}"/>
    <cellStyle name="Normal 4 2 2 3 3 2 6" xfId="2505" xr:uid="{00000000-0005-0000-0000-000056120000}"/>
    <cellStyle name="Normal 4 2 2 3 3 2 6 2" xfId="6789" xr:uid="{00000000-0005-0000-0000-000057120000}"/>
    <cellStyle name="Normal 4 2 2 3 3 2 6 2 2" xfId="15231" xr:uid="{B0CBB5D1-1353-4D09-9E10-FC1C3B0DA4AF}"/>
    <cellStyle name="Normal 4 2 2 3 3 2 6 3" xfId="11013" xr:uid="{837E5C68-4D32-4D55-9BFD-F0C315F4AB2D}"/>
    <cellStyle name="Normal 4 2 2 3 3 2 7" xfId="4724" xr:uid="{00000000-0005-0000-0000-000058120000}"/>
    <cellStyle name="Normal 4 2 2 3 3 2 7 2" xfId="13166" xr:uid="{23D7749B-BEAC-4C73-9878-0BD33C3B633A}"/>
    <cellStyle name="Normal 4 2 2 3 3 2 8" xfId="8948" xr:uid="{1B68F95B-E3A6-49CF-A5FC-178AF962A4A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A024E6C3-1AEC-43BE-A9B7-3E660A279D03}"/>
    <cellStyle name="Normal 4 2 2 3 3 3 2 3" xfId="11505" xr:uid="{3068E67C-AF9F-425F-A544-11411AA42223}"/>
    <cellStyle name="Normal 4 2 2 3 3 3 3" xfId="5136" xr:uid="{00000000-0005-0000-0000-00005C120000}"/>
    <cellStyle name="Normal 4 2 2 3 3 3 3 2" xfId="13578" xr:uid="{793FBCDC-663C-4C6A-AD43-6567B7747045}"/>
    <cellStyle name="Normal 4 2 2 3 3 3 4" xfId="9360" xr:uid="{9D8790F0-1339-43E0-9DE3-DB96968969F6}"/>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E350C655-CC0A-499A-ADA2-6F367018FA75}"/>
    <cellStyle name="Normal 4 2 2 3 3 4 2 3" xfId="11918" xr:uid="{71A6B7DF-3D6D-45F8-ACBB-8A2432A586C2}"/>
    <cellStyle name="Normal 4 2 2 3 3 4 3" xfId="5549" xr:uid="{00000000-0005-0000-0000-000060120000}"/>
    <cellStyle name="Normal 4 2 2 3 3 4 3 2" xfId="13991" xr:uid="{05E8A67D-0185-4D95-BC75-3F0362916F26}"/>
    <cellStyle name="Normal 4 2 2 3 3 4 4" xfId="9773" xr:uid="{2C7FE8B5-723C-4A82-A933-AF5315CD0315}"/>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38BA5B2C-4E81-4343-8730-2BEA20E732A2}"/>
    <cellStyle name="Normal 4 2 2 3 3 5 2 3" xfId="12331" xr:uid="{EAEFDF60-F0F7-41E1-A448-A0108A06F80A}"/>
    <cellStyle name="Normal 4 2 2 3 3 5 3" xfId="5962" xr:uid="{00000000-0005-0000-0000-000064120000}"/>
    <cellStyle name="Normal 4 2 2 3 3 5 3 2" xfId="14404" xr:uid="{10666435-4110-4F55-801D-6BDE747718CE}"/>
    <cellStyle name="Normal 4 2 2 3 3 5 4" xfId="10186" xr:uid="{34094B88-51C4-44BB-BD08-1B59E1F2024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6D74198D-0CD9-4A6A-BC77-D9BD6A1453EB}"/>
    <cellStyle name="Normal 4 2 2 3 3 6 2 3" xfId="12744" xr:uid="{887EB568-9D81-4FED-BB70-D1DA36BB5073}"/>
    <cellStyle name="Normal 4 2 2 3 3 6 3" xfId="6375" xr:uid="{00000000-0005-0000-0000-000068120000}"/>
    <cellStyle name="Normal 4 2 2 3 3 6 3 2" xfId="14817" xr:uid="{C19A004D-1EA7-482C-9517-B82D4C36CB0D}"/>
    <cellStyle name="Normal 4 2 2 3 3 6 4" xfId="10599" xr:uid="{5888F0EE-F8C8-4E55-97C8-F64352B70824}"/>
    <cellStyle name="Normal 4 2 2 3 3 7" xfId="2504" xr:uid="{00000000-0005-0000-0000-000069120000}"/>
    <cellStyle name="Normal 4 2 2 3 3 7 2" xfId="6788" xr:uid="{00000000-0005-0000-0000-00006A120000}"/>
    <cellStyle name="Normal 4 2 2 3 3 7 2 2" xfId="15230" xr:uid="{68F509A7-3239-4CE3-A1FD-F7A09C9E8859}"/>
    <cellStyle name="Normal 4 2 2 3 3 7 3" xfId="11012" xr:uid="{3E4D8D9F-B742-423C-AC4C-F475C3CCAEE4}"/>
    <cellStyle name="Normal 4 2 2 3 3 8" xfId="4723" xr:uid="{00000000-0005-0000-0000-00006B120000}"/>
    <cellStyle name="Normal 4 2 2 3 3 8 2" xfId="13165" xr:uid="{73277DAF-511A-4F7E-9D01-B2DD0205906E}"/>
    <cellStyle name="Normal 4 2 2 3 3 9" xfId="8947" xr:uid="{302C1C07-7030-45C5-9CE8-CFD0CF1524A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A4014017-0FBF-4010-B790-78576D328125}"/>
    <cellStyle name="Normal 4 2 2 3 4 2 2 3" xfId="11507" xr:uid="{FF424730-F98A-41BF-9A65-86F0FF7F0ADC}"/>
    <cellStyle name="Normal 4 2 2 3 4 2 3" xfId="5138" xr:uid="{00000000-0005-0000-0000-000070120000}"/>
    <cellStyle name="Normal 4 2 2 3 4 2 3 2" xfId="13580" xr:uid="{8C5A7B16-CFAF-4CB2-A1C1-9B66085B2CC8}"/>
    <cellStyle name="Normal 4 2 2 3 4 2 4" xfId="9362" xr:uid="{05437E1A-8FA7-42C5-BB37-C8267451FDCE}"/>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3D436CCC-8529-4A78-9D8F-FBB2C1EA174B}"/>
    <cellStyle name="Normal 4 2 2 3 4 3 2 3" xfId="11920" xr:uid="{D8B69929-1D58-46E7-A127-0CDABA138F84}"/>
    <cellStyle name="Normal 4 2 2 3 4 3 3" xfId="5551" xr:uid="{00000000-0005-0000-0000-000074120000}"/>
    <cellStyle name="Normal 4 2 2 3 4 3 3 2" xfId="13993" xr:uid="{4EC1114A-D8C3-45DE-A1F0-75BAAC5BE9B9}"/>
    <cellStyle name="Normal 4 2 2 3 4 3 4" xfId="9775" xr:uid="{6AFBE27C-5EDF-433C-8FEC-871D8CC2F6BB}"/>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21B8477-4207-485B-B8E3-64950F0409BC}"/>
    <cellStyle name="Normal 4 2 2 3 4 4 2 3" xfId="12333" xr:uid="{8BE5F783-A66B-4CCC-AF7A-A4EA80C02544}"/>
    <cellStyle name="Normal 4 2 2 3 4 4 3" xfId="5964" xr:uid="{00000000-0005-0000-0000-000078120000}"/>
    <cellStyle name="Normal 4 2 2 3 4 4 3 2" xfId="14406" xr:uid="{85E4EBA1-D8B7-4464-857B-AED3EB0FC247}"/>
    <cellStyle name="Normal 4 2 2 3 4 4 4" xfId="10188" xr:uid="{CEF22AE2-2D68-43EA-A243-B6A0DF167F7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1A22E056-5830-4394-BFA4-F5FC30EAF6B2}"/>
    <cellStyle name="Normal 4 2 2 3 4 5 2 3" xfId="12746" xr:uid="{75A2C9B8-F302-4771-ABEC-3317FF72A102}"/>
    <cellStyle name="Normal 4 2 2 3 4 5 3" xfId="6377" xr:uid="{00000000-0005-0000-0000-00007C120000}"/>
    <cellStyle name="Normal 4 2 2 3 4 5 3 2" xfId="14819" xr:uid="{5A27CA26-328D-40A2-912B-203BD77CD12E}"/>
    <cellStyle name="Normal 4 2 2 3 4 5 4" xfId="10601" xr:uid="{9DF1417F-509C-4EB5-A242-F0EF39989F82}"/>
    <cellStyle name="Normal 4 2 2 3 4 6" xfId="2506" xr:uid="{00000000-0005-0000-0000-00007D120000}"/>
    <cellStyle name="Normal 4 2 2 3 4 6 2" xfId="6790" xr:uid="{00000000-0005-0000-0000-00007E120000}"/>
    <cellStyle name="Normal 4 2 2 3 4 6 2 2" xfId="15232" xr:uid="{4C62B41C-FFB9-46EE-A288-15F6086EAC59}"/>
    <cellStyle name="Normal 4 2 2 3 4 6 3" xfId="11014" xr:uid="{26351D06-2DEE-4407-B53B-9BC37F1902D0}"/>
    <cellStyle name="Normal 4 2 2 3 4 7" xfId="4725" xr:uid="{00000000-0005-0000-0000-00007F120000}"/>
    <cellStyle name="Normal 4 2 2 3 4 7 2" xfId="13167" xr:uid="{74B8C37D-7565-41BB-A6C8-82F0A034682D}"/>
    <cellStyle name="Normal 4 2 2 3 4 8" xfId="8949" xr:uid="{8C4CA999-754F-48FD-9FEA-0F1B6FEDF039}"/>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80ADE38B-9D74-43EC-80D0-27EFF9580526}"/>
    <cellStyle name="Normal 4 2 2 3 5 2 3" xfId="11500" xr:uid="{2CA29FBE-6358-4A48-B5D3-72BE38F65D3C}"/>
    <cellStyle name="Normal 4 2 2 3 5 3" xfId="5131" xr:uid="{00000000-0005-0000-0000-000083120000}"/>
    <cellStyle name="Normal 4 2 2 3 5 3 2" xfId="13573" xr:uid="{6B0A9BBB-7D80-4B10-B6C7-D93E5BA8C728}"/>
    <cellStyle name="Normal 4 2 2 3 5 4" xfId="9355" xr:uid="{34854C47-73F4-4793-8592-7982EE9E4242}"/>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30BD1CF3-C413-47D8-B419-EB73DDB1B68C}"/>
    <cellStyle name="Normal 4 2 2 3 6 2 3" xfId="11913" xr:uid="{A93EA3D2-04CD-4939-87CD-DF61A24B0565}"/>
    <cellStyle name="Normal 4 2 2 3 6 3" xfId="5544" xr:uid="{00000000-0005-0000-0000-000087120000}"/>
    <cellStyle name="Normal 4 2 2 3 6 3 2" xfId="13986" xr:uid="{7F47A266-11A0-4210-8AE9-0EC6894A840D}"/>
    <cellStyle name="Normal 4 2 2 3 6 4" xfId="9768" xr:uid="{8EFCCF52-02AD-4CB0-B7DE-E0AC6085D7A9}"/>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5CBE035E-48C4-42A4-AC67-F1A7B8005B45}"/>
    <cellStyle name="Normal 4 2 2 3 7 2 3" xfId="12326" xr:uid="{59008480-E304-412E-AF8F-5C875AAD2C64}"/>
    <cellStyle name="Normal 4 2 2 3 7 3" xfId="5957" xr:uid="{00000000-0005-0000-0000-00008B120000}"/>
    <cellStyle name="Normal 4 2 2 3 7 3 2" xfId="14399" xr:uid="{BA8FA9CA-51E6-48B2-80BE-DBB060B7A8BB}"/>
    <cellStyle name="Normal 4 2 2 3 7 4" xfId="10181" xr:uid="{62CC5319-E11D-43B0-BFAA-D803C29AB002}"/>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A4EBC082-9E4C-4F93-A62E-AB7BFBE0A172}"/>
    <cellStyle name="Normal 4 2 2 3 8 2 3" xfId="12739" xr:uid="{BCBF2915-ABFD-4DE0-AC26-194662E89EE0}"/>
    <cellStyle name="Normal 4 2 2 3 8 3" xfId="6370" xr:uid="{00000000-0005-0000-0000-00008F120000}"/>
    <cellStyle name="Normal 4 2 2 3 8 3 2" xfId="14812" xr:uid="{9C49143D-267A-4A9C-BB8E-5979FBEF5B75}"/>
    <cellStyle name="Normal 4 2 2 3 8 4" xfId="10594" xr:uid="{FED25DE9-2A80-4228-AE3B-22B980DC27DD}"/>
    <cellStyle name="Normal 4 2 2 3 9" xfId="2499" xr:uid="{00000000-0005-0000-0000-000090120000}"/>
    <cellStyle name="Normal 4 2 2 3 9 2" xfId="6783" xr:uid="{00000000-0005-0000-0000-000091120000}"/>
    <cellStyle name="Normal 4 2 2 3 9 2 2" xfId="15225" xr:uid="{F361BE3D-84DF-4927-9635-7A8B3A9D95BA}"/>
    <cellStyle name="Normal 4 2 2 3 9 3" xfId="11007" xr:uid="{35CB4965-BBAA-4FCC-A586-5113F282CB02}"/>
    <cellStyle name="Normal 4 2 2 4" xfId="347" xr:uid="{00000000-0005-0000-0000-000092120000}"/>
    <cellStyle name="Normal 4 2 2 4 10" xfId="8950" xr:uid="{B63082B0-C77A-407B-86F5-97FBC6A2106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4BF6496C-5629-4802-85B7-CEA37035FD51}"/>
    <cellStyle name="Normal 4 2 2 4 2 2 2 2 3" xfId="11510" xr:uid="{13883B02-7958-4568-A6FA-932CD5B93038}"/>
    <cellStyle name="Normal 4 2 2 4 2 2 2 3" xfId="5141" xr:uid="{00000000-0005-0000-0000-000098120000}"/>
    <cellStyle name="Normal 4 2 2 4 2 2 2 3 2" xfId="13583" xr:uid="{2E49F220-3877-41F1-BF7A-0BD8B49498E7}"/>
    <cellStyle name="Normal 4 2 2 4 2 2 2 4" xfId="9365" xr:uid="{1EA6D77B-5686-45F1-9584-882873241BF3}"/>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528B2315-AB80-4FD5-98A3-27ABBA684354}"/>
    <cellStyle name="Normal 4 2 2 4 2 2 3 2 3" xfId="11923" xr:uid="{174D4C7E-6F2D-48DB-A770-2BAD70C553FA}"/>
    <cellStyle name="Normal 4 2 2 4 2 2 3 3" xfId="5554" xr:uid="{00000000-0005-0000-0000-00009C120000}"/>
    <cellStyle name="Normal 4 2 2 4 2 2 3 3 2" xfId="13996" xr:uid="{5F5073AA-3B27-4D93-915B-869406EC7BDD}"/>
    <cellStyle name="Normal 4 2 2 4 2 2 3 4" xfId="9778" xr:uid="{C4DB7D70-BC0E-4879-8DB9-4CDFDE5BC09C}"/>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74B7A5FE-5B6E-441B-8160-CC972D3E6E14}"/>
    <cellStyle name="Normal 4 2 2 4 2 2 4 2 3" xfId="12336" xr:uid="{B6DEA662-CFDA-4888-AE04-8758BC1C7217}"/>
    <cellStyle name="Normal 4 2 2 4 2 2 4 3" xfId="5967" xr:uid="{00000000-0005-0000-0000-0000A0120000}"/>
    <cellStyle name="Normal 4 2 2 4 2 2 4 3 2" xfId="14409" xr:uid="{E11B2A7B-F4B5-476B-BCE9-1E662272F724}"/>
    <cellStyle name="Normal 4 2 2 4 2 2 4 4" xfId="10191" xr:uid="{B3287E5A-099E-4AC7-BFDF-6F1095D90FD2}"/>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B03ADF53-FDC0-4B06-BB0E-37E2203F0B50}"/>
    <cellStyle name="Normal 4 2 2 4 2 2 5 2 3" xfId="12749" xr:uid="{6E2DA0B7-D793-46CA-AD6A-329D4CAB1B14}"/>
    <cellStyle name="Normal 4 2 2 4 2 2 5 3" xfId="6380" xr:uid="{00000000-0005-0000-0000-0000A4120000}"/>
    <cellStyle name="Normal 4 2 2 4 2 2 5 3 2" xfId="14822" xr:uid="{DB36E00E-73C7-4796-AE9B-6C4F46E963EA}"/>
    <cellStyle name="Normal 4 2 2 4 2 2 5 4" xfId="10604" xr:uid="{C4E0EA87-4A4F-49A0-BE4A-C7899A970B01}"/>
    <cellStyle name="Normal 4 2 2 4 2 2 6" xfId="2509" xr:uid="{00000000-0005-0000-0000-0000A5120000}"/>
    <cellStyle name="Normal 4 2 2 4 2 2 6 2" xfId="6793" xr:uid="{00000000-0005-0000-0000-0000A6120000}"/>
    <cellStyle name="Normal 4 2 2 4 2 2 6 2 2" xfId="15235" xr:uid="{6B4CE725-AA68-4062-B008-12E2CFB8E684}"/>
    <cellStyle name="Normal 4 2 2 4 2 2 6 3" xfId="11017" xr:uid="{D838DD77-A4CC-4173-A726-C70FD46D75BC}"/>
    <cellStyle name="Normal 4 2 2 4 2 2 7" xfId="4728" xr:uid="{00000000-0005-0000-0000-0000A7120000}"/>
    <cellStyle name="Normal 4 2 2 4 2 2 7 2" xfId="13170" xr:uid="{CBFB5053-AA8B-4548-97AD-437055E14939}"/>
    <cellStyle name="Normal 4 2 2 4 2 2 8" xfId="8952" xr:uid="{33A82835-541F-44C5-9F42-3729D40AB806}"/>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FAD8D363-4720-4F38-8935-4FCFCCC18809}"/>
    <cellStyle name="Normal 4 2 2 4 2 3 2 3" xfId="11509" xr:uid="{70E6E7CB-0B5A-4AB0-B437-88F1582B092C}"/>
    <cellStyle name="Normal 4 2 2 4 2 3 3" xfId="5140" xr:uid="{00000000-0005-0000-0000-0000AB120000}"/>
    <cellStyle name="Normal 4 2 2 4 2 3 3 2" xfId="13582" xr:uid="{D007762B-820E-48E8-A60A-AAE719B4FD76}"/>
    <cellStyle name="Normal 4 2 2 4 2 3 4" xfId="9364" xr:uid="{27546669-6BB1-410E-91DF-D8DA37BCF90F}"/>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884ECDD5-148C-4A23-AC9E-14FEE154B99C}"/>
    <cellStyle name="Normal 4 2 2 4 2 4 2 3" xfId="11922" xr:uid="{C6AD0EDC-DD5E-4F57-9616-57AC38759D06}"/>
    <cellStyle name="Normal 4 2 2 4 2 4 3" xfId="5553" xr:uid="{00000000-0005-0000-0000-0000AF120000}"/>
    <cellStyle name="Normal 4 2 2 4 2 4 3 2" xfId="13995" xr:uid="{A8A8ADF8-E04F-48C9-995F-53FEF683FB2B}"/>
    <cellStyle name="Normal 4 2 2 4 2 4 4" xfId="9777" xr:uid="{731A6BA0-EDF0-45F4-A5C2-2148B9160678}"/>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E03AD0AC-06F1-46CA-997C-9F0AD34A0D42}"/>
    <cellStyle name="Normal 4 2 2 4 2 5 2 3" xfId="12335" xr:uid="{3138DB30-41AD-4770-A4FA-90A1C114E602}"/>
    <cellStyle name="Normal 4 2 2 4 2 5 3" xfId="5966" xr:uid="{00000000-0005-0000-0000-0000B3120000}"/>
    <cellStyle name="Normal 4 2 2 4 2 5 3 2" xfId="14408" xr:uid="{15C0225A-BC0F-4575-A8EB-C9BA556E8225}"/>
    <cellStyle name="Normal 4 2 2 4 2 5 4" xfId="10190" xr:uid="{95F4FCE9-063E-45BC-80FA-2EBE5AD956B1}"/>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1AA4BF1B-A25B-4B92-95F9-D567D1738E2A}"/>
    <cellStyle name="Normal 4 2 2 4 2 6 2 3" xfId="12748" xr:uid="{05E1BF67-D61A-4979-BF80-15C2D1051D32}"/>
    <cellStyle name="Normal 4 2 2 4 2 6 3" xfId="6379" xr:uid="{00000000-0005-0000-0000-0000B7120000}"/>
    <cellStyle name="Normal 4 2 2 4 2 6 3 2" xfId="14821" xr:uid="{44AEFDFD-1527-4E88-BA5A-869841035FC4}"/>
    <cellStyle name="Normal 4 2 2 4 2 6 4" xfId="10603" xr:uid="{105DF818-96DD-49F8-81FC-F435B5D8B697}"/>
    <cellStyle name="Normal 4 2 2 4 2 7" xfId="2508" xr:uid="{00000000-0005-0000-0000-0000B8120000}"/>
    <cellStyle name="Normal 4 2 2 4 2 7 2" xfId="6792" xr:uid="{00000000-0005-0000-0000-0000B9120000}"/>
    <cellStyle name="Normal 4 2 2 4 2 7 2 2" xfId="15234" xr:uid="{8D928504-CDCF-4C71-855B-EDCA8BA13013}"/>
    <cellStyle name="Normal 4 2 2 4 2 7 3" xfId="11016" xr:uid="{5FE3FD21-74FF-45FC-9F61-663921ECE517}"/>
    <cellStyle name="Normal 4 2 2 4 2 8" xfId="4727" xr:uid="{00000000-0005-0000-0000-0000BA120000}"/>
    <cellStyle name="Normal 4 2 2 4 2 8 2" xfId="13169" xr:uid="{61F0AC84-54CB-46E3-83CA-C53CEB705609}"/>
    <cellStyle name="Normal 4 2 2 4 2 9" xfId="8951" xr:uid="{9F185CF6-9592-4111-A2C2-68B71DA5EA7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D09596F0-F43C-4695-AEAF-5BC42A245DBD}"/>
    <cellStyle name="Normal 4 2 2 4 3 2 2 3" xfId="11511" xr:uid="{439114A8-9717-4F29-8269-34C134158410}"/>
    <cellStyle name="Normal 4 2 2 4 3 2 3" xfId="5142" xr:uid="{00000000-0005-0000-0000-0000BF120000}"/>
    <cellStyle name="Normal 4 2 2 4 3 2 3 2" xfId="13584" xr:uid="{67410CC1-F641-4F91-B3F4-7AB5FFAD2ED7}"/>
    <cellStyle name="Normal 4 2 2 4 3 2 4" xfId="9366" xr:uid="{B44450C7-5256-4109-B044-E0BB87B9A67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CB5A5E32-D7EB-4582-B0FE-18549F433CF1}"/>
    <cellStyle name="Normal 4 2 2 4 3 3 2 3" xfId="11924" xr:uid="{E9941D24-3E3B-417E-9DA8-C6B2C0809770}"/>
    <cellStyle name="Normal 4 2 2 4 3 3 3" xfId="5555" xr:uid="{00000000-0005-0000-0000-0000C3120000}"/>
    <cellStyle name="Normal 4 2 2 4 3 3 3 2" xfId="13997" xr:uid="{CF6D2A96-92B6-42AA-B98F-4E114671C9CB}"/>
    <cellStyle name="Normal 4 2 2 4 3 3 4" xfId="9779" xr:uid="{EF81B5C3-56A2-44FF-BEB8-55671C54F5FF}"/>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03BD8B16-FDF9-49B1-AD93-63BC6A62AF0E}"/>
    <cellStyle name="Normal 4 2 2 4 3 4 2 3" xfId="12337" xr:uid="{0B5D6671-4823-4A7C-B1E1-18F4A2D7D3C2}"/>
    <cellStyle name="Normal 4 2 2 4 3 4 3" xfId="5968" xr:uid="{00000000-0005-0000-0000-0000C7120000}"/>
    <cellStyle name="Normal 4 2 2 4 3 4 3 2" xfId="14410" xr:uid="{679B5D36-3993-451E-A206-1B320B6D945A}"/>
    <cellStyle name="Normal 4 2 2 4 3 4 4" xfId="10192" xr:uid="{C07E5314-A1FA-4A4B-A361-9C5992A7415F}"/>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4232DA21-159D-47B7-BE10-F058CA28943D}"/>
    <cellStyle name="Normal 4 2 2 4 3 5 2 3" xfId="12750" xr:uid="{B60D4CD5-9661-4BA4-9FDC-5150B81A9500}"/>
    <cellStyle name="Normal 4 2 2 4 3 5 3" xfId="6381" xr:uid="{00000000-0005-0000-0000-0000CB120000}"/>
    <cellStyle name="Normal 4 2 2 4 3 5 3 2" xfId="14823" xr:uid="{0B533135-C4F9-4FE2-BAB4-5E8BC48FCB49}"/>
    <cellStyle name="Normal 4 2 2 4 3 5 4" xfId="10605" xr:uid="{6A5349F1-D2B6-42E5-904B-D1B5773AB932}"/>
    <cellStyle name="Normal 4 2 2 4 3 6" xfId="2510" xr:uid="{00000000-0005-0000-0000-0000CC120000}"/>
    <cellStyle name="Normal 4 2 2 4 3 6 2" xfId="6794" xr:uid="{00000000-0005-0000-0000-0000CD120000}"/>
    <cellStyle name="Normal 4 2 2 4 3 6 2 2" xfId="15236" xr:uid="{4B4A7EC4-831E-4E18-85C3-B59D0793D6A3}"/>
    <cellStyle name="Normal 4 2 2 4 3 6 3" xfId="11018" xr:uid="{94FB268E-B447-4770-A513-9672D86F1018}"/>
    <cellStyle name="Normal 4 2 2 4 3 7" xfId="4729" xr:uid="{00000000-0005-0000-0000-0000CE120000}"/>
    <cellStyle name="Normal 4 2 2 4 3 7 2" xfId="13171" xr:uid="{227AC7E5-E90F-4929-B88B-B40CCE72657C}"/>
    <cellStyle name="Normal 4 2 2 4 3 8" xfId="8953" xr:uid="{11D3F53F-A47E-43F0-80BB-14BA7B393C7A}"/>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D1CD483C-3AA6-4785-AE98-63CD9706271A}"/>
    <cellStyle name="Normal 4 2 2 4 4 2 3" xfId="11508" xr:uid="{520FE212-B70F-4EEB-8262-6362FF2D0666}"/>
    <cellStyle name="Normal 4 2 2 4 4 3" xfId="5139" xr:uid="{00000000-0005-0000-0000-0000D2120000}"/>
    <cellStyle name="Normal 4 2 2 4 4 3 2" xfId="13581" xr:uid="{83418E21-6BE6-4B3A-96BE-37EC4E2A30B6}"/>
    <cellStyle name="Normal 4 2 2 4 4 4" xfId="9363" xr:uid="{1BFE5523-2F55-4DA7-843A-13E9A63E60F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27C90737-097B-437B-9855-A2415F0892EB}"/>
    <cellStyle name="Normal 4 2 2 4 5 2 3" xfId="11921" xr:uid="{340E6EA5-F4E1-4684-B6B0-1C1C55A3BE95}"/>
    <cellStyle name="Normal 4 2 2 4 5 3" xfId="5552" xr:uid="{00000000-0005-0000-0000-0000D6120000}"/>
    <cellStyle name="Normal 4 2 2 4 5 3 2" xfId="13994" xr:uid="{8E58427B-F8AD-402D-BB03-18C140D16348}"/>
    <cellStyle name="Normal 4 2 2 4 5 4" xfId="9776" xr:uid="{B78960D9-F44A-49B7-959E-595AC322C4A5}"/>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D3B8B1E2-3D4D-4330-B797-E78F468B8F50}"/>
    <cellStyle name="Normal 4 2 2 4 6 2 3" xfId="12334" xr:uid="{6C801936-30B6-482A-B40E-BF94E6F14B05}"/>
    <cellStyle name="Normal 4 2 2 4 6 3" xfId="5965" xr:uid="{00000000-0005-0000-0000-0000DA120000}"/>
    <cellStyle name="Normal 4 2 2 4 6 3 2" xfId="14407" xr:uid="{679B29AD-FA98-4F4F-BCB1-27E568999F14}"/>
    <cellStyle name="Normal 4 2 2 4 6 4" xfId="10189" xr:uid="{3B31906B-381B-486C-9DAE-F63FCC271D7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110FA126-2F43-43A3-87FA-6BC0168148C1}"/>
    <cellStyle name="Normal 4 2 2 4 7 2 3" xfId="12747" xr:uid="{6E6FCF44-D152-44F5-866E-F2861FE32781}"/>
    <cellStyle name="Normal 4 2 2 4 7 3" xfId="6378" xr:uid="{00000000-0005-0000-0000-0000DE120000}"/>
    <cellStyle name="Normal 4 2 2 4 7 3 2" xfId="14820" xr:uid="{B08A63FE-AC84-4165-A307-C74DB5E435E0}"/>
    <cellStyle name="Normal 4 2 2 4 7 4" xfId="10602" xr:uid="{168F9528-6D0A-4252-A929-E2FAD5BD4113}"/>
    <cellStyle name="Normal 4 2 2 4 8" xfId="2507" xr:uid="{00000000-0005-0000-0000-0000DF120000}"/>
    <cellStyle name="Normal 4 2 2 4 8 2" xfId="6791" xr:uid="{00000000-0005-0000-0000-0000E0120000}"/>
    <cellStyle name="Normal 4 2 2 4 8 2 2" xfId="15233" xr:uid="{5473CED5-BDA3-42F0-8EC8-5A28070663D5}"/>
    <cellStyle name="Normal 4 2 2 4 8 3" xfId="11015" xr:uid="{9727434A-2008-4F7D-B2ED-D732102D21EB}"/>
    <cellStyle name="Normal 4 2 2 4 9" xfId="4726" xr:uid="{00000000-0005-0000-0000-0000E1120000}"/>
    <cellStyle name="Normal 4 2 2 4 9 2" xfId="13168" xr:uid="{DE8456E9-EC3E-4975-8BA8-AA66633D9D5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04C10E5A-165A-4E3F-A7E4-4BF9759DE6ED}"/>
    <cellStyle name="Normal 4 2 2 5 2 2 2 3" xfId="11513" xr:uid="{F458D8E9-82C5-4773-971D-B33077E60EFB}"/>
    <cellStyle name="Normal 4 2 2 5 2 2 3" xfId="5144" xr:uid="{00000000-0005-0000-0000-0000E7120000}"/>
    <cellStyle name="Normal 4 2 2 5 2 2 3 2" xfId="13586" xr:uid="{22AA1D72-AAA2-4B27-879B-B8D4D09D55C3}"/>
    <cellStyle name="Normal 4 2 2 5 2 2 4" xfId="9368" xr:uid="{E5AB7428-F1A3-47AC-90CE-954225C2A9E5}"/>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3A99265-B634-43D2-A3E1-F52AB0DA45C7}"/>
    <cellStyle name="Normal 4 2 2 5 2 3 2 3" xfId="11926" xr:uid="{7B3FCD6A-0643-4A3F-B8F6-E6C09D2AE966}"/>
    <cellStyle name="Normal 4 2 2 5 2 3 3" xfId="5557" xr:uid="{00000000-0005-0000-0000-0000EB120000}"/>
    <cellStyle name="Normal 4 2 2 5 2 3 3 2" xfId="13999" xr:uid="{9B14E86F-160A-479D-9EE8-91169A566924}"/>
    <cellStyle name="Normal 4 2 2 5 2 3 4" xfId="9781" xr:uid="{0EECBF8F-1815-4A81-8D41-BF4991D62F0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56BACE9A-52C9-4CDD-B42B-FD6169690A05}"/>
    <cellStyle name="Normal 4 2 2 5 2 4 2 3" xfId="12339" xr:uid="{8BC882E9-6492-4EA9-9808-69EB0B56D40A}"/>
    <cellStyle name="Normal 4 2 2 5 2 4 3" xfId="5970" xr:uid="{00000000-0005-0000-0000-0000EF120000}"/>
    <cellStyle name="Normal 4 2 2 5 2 4 3 2" xfId="14412" xr:uid="{6C1D145D-3769-41A6-B9CA-9377E602450D}"/>
    <cellStyle name="Normal 4 2 2 5 2 4 4" xfId="10194" xr:uid="{790DA5A7-4392-431C-8310-A84458758861}"/>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E96DFBAA-2829-4639-9A2A-BC7738062CCC}"/>
    <cellStyle name="Normal 4 2 2 5 2 5 2 3" xfId="12752" xr:uid="{12F6F5A2-155D-40D2-8D92-137896C5DB7C}"/>
    <cellStyle name="Normal 4 2 2 5 2 5 3" xfId="6383" xr:uid="{00000000-0005-0000-0000-0000F3120000}"/>
    <cellStyle name="Normal 4 2 2 5 2 5 3 2" xfId="14825" xr:uid="{0588F3C1-67D5-46DE-9AF7-5AE656EF3E86}"/>
    <cellStyle name="Normal 4 2 2 5 2 5 4" xfId="10607" xr:uid="{D5F2139C-493A-4D8A-B1FC-D022C41BAE3C}"/>
    <cellStyle name="Normal 4 2 2 5 2 6" xfId="2512" xr:uid="{00000000-0005-0000-0000-0000F4120000}"/>
    <cellStyle name="Normal 4 2 2 5 2 6 2" xfId="6796" xr:uid="{00000000-0005-0000-0000-0000F5120000}"/>
    <cellStyle name="Normal 4 2 2 5 2 6 2 2" xfId="15238" xr:uid="{CF73E562-5252-48EE-A776-4213A0AEF9A4}"/>
    <cellStyle name="Normal 4 2 2 5 2 6 3" xfId="11020" xr:uid="{34C918D0-D35F-4F7F-9795-5FA1EB61EA22}"/>
    <cellStyle name="Normal 4 2 2 5 2 7" xfId="4731" xr:uid="{00000000-0005-0000-0000-0000F6120000}"/>
    <cellStyle name="Normal 4 2 2 5 2 7 2" xfId="13173" xr:uid="{FDE77D71-DEE2-4CB6-85E0-63D0C11D8341}"/>
    <cellStyle name="Normal 4 2 2 5 2 8" xfId="8955" xr:uid="{DE845A98-69E8-4069-BA32-D25877C0926A}"/>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811FB1D2-1E89-44B9-A3FD-1D7901A69974}"/>
    <cellStyle name="Normal 4 2 2 5 3 2 3" xfId="11512" xr:uid="{4E3F03E9-6659-47AD-9C70-EE564831DC51}"/>
    <cellStyle name="Normal 4 2 2 5 3 3" xfId="5143" xr:uid="{00000000-0005-0000-0000-0000FA120000}"/>
    <cellStyle name="Normal 4 2 2 5 3 3 2" xfId="13585" xr:uid="{C9D1686D-EC82-4544-8E15-4E63A901B754}"/>
    <cellStyle name="Normal 4 2 2 5 3 4" xfId="9367" xr:uid="{DD554FAE-22D8-482E-B87C-4A71F28CED8E}"/>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AC64EE19-51DA-4F7E-8916-5B5BFF2AE9EC}"/>
    <cellStyle name="Normal 4 2 2 5 4 2 3" xfId="11925" xr:uid="{FA0A5B30-C685-4941-9865-666017AD9415}"/>
    <cellStyle name="Normal 4 2 2 5 4 3" xfId="5556" xr:uid="{00000000-0005-0000-0000-0000FE120000}"/>
    <cellStyle name="Normal 4 2 2 5 4 3 2" xfId="13998" xr:uid="{09AC1344-2A6C-4626-B971-3ECBBE38119C}"/>
    <cellStyle name="Normal 4 2 2 5 4 4" xfId="9780" xr:uid="{7D078954-7345-447F-B6A8-9ADC52FA706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3D03B975-7CEA-4B94-ABF7-3CFAF29BE735}"/>
    <cellStyle name="Normal 4 2 2 5 5 2 3" xfId="12338" xr:uid="{EC0507C1-F303-44CA-B8C8-7D772DA2ACDD}"/>
    <cellStyle name="Normal 4 2 2 5 5 3" xfId="5969" xr:uid="{00000000-0005-0000-0000-000002130000}"/>
    <cellStyle name="Normal 4 2 2 5 5 3 2" xfId="14411" xr:uid="{82121BAE-AE80-4708-8A56-4F69B9D4EA3A}"/>
    <cellStyle name="Normal 4 2 2 5 5 4" xfId="10193" xr:uid="{F4FE3BC2-97E6-40BF-8D33-47D8B029A148}"/>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917AD155-2457-472B-A6C1-8E80DEE5106E}"/>
    <cellStyle name="Normal 4 2 2 5 6 2 3" xfId="12751" xr:uid="{0F8A18DF-690A-46AF-9AC6-22A5D4091BAB}"/>
    <cellStyle name="Normal 4 2 2 5 6 3" xfId="6382" xr:uid="{00000000-0005-0000-0000-000006130000}"/>
    <cellStyle name="Normal 4 2 2 5 6 3 2" xfId="14824" xr:uid="{E6AC12DE-1215-443D-A58D-B4AF63A552B2}"/>
    <cellStyle name="Normal 4 2 2 5 6 4" xfId="10606" xr:uid="{6C3EF367-D592-4304-A424-354E9B2182B4}"/>
    <cellStyle name="Normal 4 2 2 5 7" xfId="2511" xr:uid="{00000000-0005-0000-0000-000007130000}"/>
    <cellStyle name="Normal 4 2 2 5 7 2" xfId="6795" xr:uid="{00000000-0005-0000-0000-000008130000}"/>
    <cellStyle name="Normal 4 2 2 5 7 2 2" xfId="15237" xr:uid="{E9161A29-B584-4105-B540-A046D00ECBC2}"/>
    <cellStyle name="Normal 4 2 2 5 7 3" xfId="11019" xr:uid="{1D425D34-E117-43BC-A8A4-355438CC0370}"/>
    <cellStyle name="Normal 4 2 2 5 8" xfId="4730" xr:uid="{00000000-0005-0000-0000-000009130000}"/>
    <cellStyle name="Normal 4 2 2 5 8 2" xfId="13172" xr:uid="{2136130A-08B8-4A1F-9E7E-91B7A5579EB3}"/>
    <cellStyle name="Normal 4 2 2 5 9" xfId="8954" xr:uid="{5A162BED-F16B-4252-9218-973EDC28797F}"/>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BFB80DE9-1456-4E5A-AF71-76507F1CC168}"/>
    <cellStyle name="Normal 4 2 2 6 2 2 3" xfId="11514" xr:uid="{F4BEA565-61FB-46B6-A843-1B8A8FD96315}"/>
    <cellStyle name="Normal 4 2 2 6 2 3" xfId="5145" xr:uid="{00000000-0005-0000-0000-00000E130000}"/>
    <cellStyle name="Normal 4 2 2 6 2 3 2" xfId="13587" xr:uid="{64E1EDE5-7B8E-4BC3-B3B1-0BBC4E0F40AA}"/>
    <cellStyle name="Normal 4 2 2 6 2 4" xfId="9369" xr:uid="{FF303418-7658-478A-809D-6375CE65BB69}"/>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D2591241-C236-47A2-A2E3-4E467E1DD671}"/>
    <cellStyle name="Normal 4 2 2 6 3 2 3" xfId="11927" xr:uid="{FEF4A62A-3D93-416B-9850-0EFA22634324}"/>
    <cellStyle name="Normal 4 2 2 6 3 3" xfId="5558" xr:uid="{00000000-0005-0000-0000-000012130000}"/>
    <cellStyle name="Normal 4 2 2 6 3 3 2" xfId="14000" xr:uid="{BE63A947-9139-4F25-B8D2-2CC7C8E11C49}"/>
    <cellStyle name="Normal 4 2 2 6 3 4" xfId="9782" xr:uid="{E5FFE57B-01CE-48E5-9D82-C45EFDC54ED5}"/>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D4B9DEF2-E17A-43AA-A8DB-4FD7586740A3}"/>
    <cellStyle name="Normal 4 2 2 6 4 2 3" xfId="12340" xr:uid="{39FDE91F-F329-4B68-8987-F00E0EA396D7}"/>
    <cellStyle name="Normal 4 2 2 6 4 3" xfId="5971" xr:uid="{00000000-0005-0000-0000-000016130000}"/>
    <cellStyle name="Normal 4 2 2 6 4 3 2" xfId="14413" xr:uid="{27977B65-89E3-4862-B2E4-0BA079B3B302}"/>
    <cellStyle name="Normal 4 2 2 6 4 4" xfId="10195" xr:uid="{F9360B4E-876F-44C6-A4D3-549929360C6D}"/>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1D9DBE07-1719-4A16-91A0-E57FEC12BC0F}"/>
    <cellStyle name="Normal 4 2 2 6 5 2 3" xfId="12753" xr:uid="{D9474FB4-EDE9-40C1-8FDB-84B2A5C5F476}"/>
    <cellStyle name="Normal 4 2 2 6 5 3" xfId="6384" xr:uid="{00000000-0005-0000-0000-00001A130000}"/>
    <cellStyle name="Normal 4 2 2 6 5 3 2" xfId="14826" xr:uid="{7C607EF3-CBBB-4A8B-8129-6DD2413BBF39}"/>
    <cellStyle name="Normal 4 2 2 6 5 4" xfId="10608" xr:uid="{C2DB2377-563E-42D8-A0CE-671938DEDDA0}"/>
    <cellStyle name="Normal 4 2 2 6 6" xfId="2513" xr:uid="{00000000-0005-0000-0000-00001B130000}"/>
    <cellStyle name="Normal 4 2 2 6 6 2" xfId="6797" xr:uid="{00000000-0005-0000-0000-00001C130000}"/>
    <cellStyle name="Normal 4 2 2 6 6 2 2" xfId="15239" xr:uid="{A2A02B21-D16E-4849-A5CA-B25F5CEAF9E8}"/>
    <cellStyle name="Normal 4 2 2 6 6 3" xfId="11021" xr:uid="{273540B2-CA5C-42B7-A104-6CB9066F3B7B}"/>
    <cellStyle name="Normal 4 2 2 6 7" xfId="4732" xr:uid="{00000000-0005-0000-0000-00001D130000}"/>
    <cellStyle name="Normal 4 2 2 6 7 2" xfId="13174" xr:uid="{C524984A-7005-47EF-B0ED-44DF2705350D}"/>
    <cellStyle name="Normal 4 2 2 6 8" xfId="8956" xr:uid="{F815B5B1-4010-4633-BF86-3597462B585E}"/>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7567B9C9-7EFC-4113-B499-29F3BAFFEDD7}"/>
    <cellStyle name="Normal 4 2 2 7 2 3" xfId="11499" xr:uid="{C34D78AB-F042-44CB-98BE-003CAAFA2DA2}"/>
    <cellStyle name="Normal 4 2 2 7 3" xfId="5130" xr:uid="{00000000-0005-0000-0000-000021130000}"/>
    <cellStyle name="Normal 4 2 2 7 3 2" xfId="13572" xr:uid="{02039808-E204-44A0-BE7F-0EF5BF14DDC0}"/>
    <cellStyle name="Normal 4 2 2 7 4" xfId="9354" xr:uid="{75F31A0F-1B94-4DBB-9228-CE2CFCACD15D}"/>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657ADE9C-5DC0-4AA8-8F8F-09BE297D26D2}"/>
    <cellStyle name="Normal 4 2 2 8 2 3" xfId="11912" xr:uid="{CA673D0D-CB02-45CD-9615-BC0EA346CE88}"/>
    <cellStyle name="Normal 4 2 2 8 3" xfId="5543" xr:uid="{00000000-0005-0000-0000-000025130000}"/>
    <cellStyle name="Normal 4 2 2 8 3 2" xfId="13985" xr:uid="{3733BF92-3E96-4262-9A3E-991659C55F61}"/>
    <cellStyle name="Normal 4 2 2 8 4" xfId="9767" xr:uid="{11661A65-4DBA-42AC-9EA4-3D6C80D6FF1C}"/>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53B0CCE9-6A74-434E-BA68-F8AB219C1E9E}"/>
    <cellStyle name="Normal 4 2 2 9 2 3" xfId="12325" xr:uid="{559F18ED-CB30-4241-8368-91178202DA47}"/>
    <cellStyle name="Normal 4 2 2 9 3" xfId="5956" xr:uid="{00000000-0005-0000-0000-000029130000}"/>
    <cellStyle name="Normal 4 2 2 9 3 2" xfId="14398" xr:uid="{7013A942-420B-435C-8972-030E8DC12C52}"/>
    <cellStyle name="Normal 4 2 2 9 4" xfId="10180" xr:uid="{EBB9C805-0C08-4684-B404-7630B8F62E00}"/>
    <cellStyle name="Normal 4 2 3" xfId="354" xr:uid="{00000000-0005-0000-0000-00002A130000}"/>
    <cellStyle name="Normal 4 2 4" xfId="355" xr:uid="{00000000-0005-0000-0000-00002B130000}"/>
    <cellStyle name="Normal 4 2 4 10" xfId="4733" xr:uid="{00000000-0005-0000-0000-00002C130000}"/>
    <cellStyle name="Normal 4 2 4 10 2" xfId="13175" xr:uid="{29385692-4DFE-43AB-BD6E-BA9801DDCD0C}"/>
    <cellStyle name="Normal 4 2 4 11" xfId="8957" xr:uid="{F2F86E26-278B-420A-979B-1F3D7531673E}"/>
    <cellStyle name="Normal 4 2 4 2" xfId="356" xr:uid="{00000000-0005-0000-0000-00002D130000}"/>
    <cellStyle name="Normal 4 2 4 2 10" xfId="8958" xr:uid="{0070FAD2-C77A-4B5D-98C8-A39F04CEE8E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D65C34A9-1788-46D7-8183-511E42AEE453}"/>
    <cellStyle name="Normal 4 2 4 2 2 2 2 2 3" xfId="11518" xr:uid="{C984870F-2657-4FBB-8245-977EA907510D}"/>
    <cellStyle name="Normal 4 2 4 2 2 2 2 3" xfId="5149" xr:uid="{00000000-0005-0000-0000-000033130000}"/>
    <cellStyle name="Normal 4 2 4 2 2 2 2 3 2" xfId="13591" xr:uid="{728112C9-1D68-4E81-82C2-84BE7FD3A3CF}"/>
    <cellStyle name="Normal 4 2 4 2 2 2 2 4" xfId="9373" xr:uid="{055DF627-1C51-4A5E-8E3F-9B3D8E2D603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FC8A8136-E561-4C8E-AE84-014A45778694}"/>
    <cellStyle name="Normal 4 2 4 2 2 2 3 2 3" xfId="11931" xr:uid="{4C01860D-0E3C-4034-87DB-96A04FAF846B}"/>
    <cellStyle name="Normal 4 2 4 2 2 2 3 3" xfId="5562" xr:uid="{00000000-0005-0000-0000-000037130000}"/>
    <cellStyle name="Normal 4 2 4 2 2 2 3 3 2" xfId="14004" xr:uid="{AAC04B9E-971C-4033-8250-A2370354609C}"/>
    <cellStyle name="Normal 4 2 4 2 2 2 3 4" xfId="9786" xr:uid="{8487789E-B553-46B4-BA55-ACB8E283135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8E7E85E5-12A1-46D4-853F-99356496167F}"/>
    <cellStyle name="Normal 4 2 4 2 2 2 4 2 3" xfId="12344" xr:uid="{51E07E9D-05CD-4C2E-A1C6-16387EC3F129}"/>
    <cellStyle name="Normal 4 2 4 2 2 2 4 3" xfId="5975" xr:uid="{00000000-0005-0000-0000-00003B130000}"/>
    <cellStyle name="Normal 4 2 4 2 2 2 4 3 2" xfId="14417" xr:uid="{68FB74E7-8377-4998-91FE-ADF22DFB42D7}"/>
    <cellStyle name="Normal 4 2 4 2 2 2 4 4" xfId="10199" xr:uid="{E57E0388-A8BA-410D-B41B-4DFC9B83C62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2DA8C305-BA0B-4DA0-8372-6D0D42DF0289}"/>
    <cellStyle name="Normal 4 2 4 2 2 2 5 2 3" xfId="12757" xr:uid="{1C76D01D-7A95-4DC3-B77F-2DBAFA69ABAD}"/>
    <cellStyle name="Normal 4 2 4 2 2 2 5 3" xfId="6388" xr:uid="{00000000-0005-0000-0000-00003F130000}"/>
    <cellStyle name="Normal 4 2 4 2 2 2 5 3 2" xfId="14830" xr:uid="{FFB20965-575E-4D67-9A02-61CC97C83790}"/>
    <cellStyle name="Normal 4 2 4 2 2 2 5 4" xfId="10612" xr:uid="{7420062F-FD1A-458F-9421-3F1978B0880B}"/>
    <cellStyle name="Normal 4 2 4 2 2 2 6" xfId="2517" xr:uid="{00000000-0005-0000-0000-000040130000}"/>
    <cellStyle name="Normal 4 2 4 2 2 2 6 2" xfId="6801" xr:uid="{00000000-0005-0000-0000-000041130000}"/>
    <cellStyle name="Normal 4 2 4 2 2 2 6 2 2" xfId="15243" xr:uid="{407280CC-62E0-4B2A-A15A-15602CAAB2F5}"/>
    <cellStyle name="Normal 4 2 4 2 2 2 6 3" xfId="11025" xr:uid="{F57D9746-C677-4558-AA8E-03DDB0A49B93}"/>
    <cellStyle name="Normal 4 2 4 2 2 2 7" xfId="4736" xr:uid="{00000000-0005-0000-0000-000042130000}"/>
    <cellStyle name="Normal 4 2 4 2 2 2 7 2" xfId="13178" xr:uid="{996493B0-A2A8-40B0-9BD1-C4496EA8243C}"/>
    <cellStyle name="Normal 4 2 4 2 2 2 8" xfId="8960" xr:uid="{BFF4FC53-671A-4D8A-B6C5-E266A9010C38}"/>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2559CD3E-FCD2-4310-88E5-382A95FD3245}"/>
    <cellStyle name="Normal 4 2 4 2 2 3 2 3" xfId="11517" xr:uid="{824FCBBF-7361-4D87-AF7E-414404B83375}"/>
    <cellStyle name="Normal 4 2 4 2 2 3 3" xfId="5148" xr:uid="{00000000-0005-0000-0000-000046130000}"/>
    <cellStyle name="Normal 4 2 4 2 2 3 3 2" xfId="13590" xr:uid="{8BC91559-F0F2-4445-925D-671E976486D3}"/>
    <cellStyle name="Normal 4 2 4 2 2 3 4" xfId="9372" xr:uid="{0C6BDA8A-1A7A-4A4F-A91F-6B7A22CEFE8F}"/>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62E33825-2DD0-40EC-B87F-00DA93C9531A}"/>
    <cellStyle name="Normal 4 2 4 2 2 4 2 3" xfId="11930" xr:uid="{A0A0F546-ED91-42C5-AD7D-A2B7D91F1B85}"/>
    <cellStyle name="Normal 4 2 4 2 2 4 3" xfId="5561" xr:uid="{00000000-0005-0000-0000-00004A130000}"/>
    <cellStyle name="Normal 4 2 4 2 2 4 3 2" xfId="14003" xr:uid="{46AF8835-16E9-4C02-B9F1-B555B355DC2E}"/>
    <cellStyle name="Normal 4 2 4 2 2 4 4" xfId="9785" xr:uid="{FC279770-B0B5-4ABB-BD69-014316BAEDA9}"/>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A9CEA751-6349-421F-B637-2C28199C2DA6}"/>
    <cellStyle name="Normal 4 2 4 2 2 5 2 3" xfId="12343" xr:uid="{BE1EC26E-D355-4370-8441-D40FA7F3310C}"/>
    <cellStyle name="Normal 4 2 4 2 2 5 3" xfId="5974" xr:uid="{00000000-0005-0000-0000-00004E130000}"/>
    <cellStyle name="Normal 4 2 4 2 2 5 3 2" xfId="14416" xr:uid="{596A1B8A-0DD8-4481-96B4-DDE66CF08F2C}"/>
    <cellStyle name="Normal 4 2 4 2 2 5 4" xfId="10198" xr:uid="{772F0ECA-EA1C-447B-A26E-A0D7F955B5FA}"/>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4A574393-8B01-40C3-AB10-4F6A164C9F23}"/>
    <cellStyle name="Normal 4 2 4 2 2 6 2 3" xfId="12756" xr:uid="{B6C36FA6-609A-4407-9CE8-88E83811DEC5}"/>
    <cellStyle name="Normal 4 2 4 2 2 6 3" xfId="6387" xr:uid="{00000000-0005-0000-0000-000052130000}"/>
    <cellStyle name="Normal 4 2 4 2 2 6 3 2" xfId="14829" xr:uid="{8B035592-F3B2-4087-83EC-BF14E06D4CCC}"/>
    <cellStyle name="Normal 4 2 4 2 2 6 4" xfId="10611" xr:uid="{D84EC49F-0586-4425-9E65-B6FB4DEF0E35}"/>
    <cellStyle name="Normal 4 2 4 2 2 7" xfId="2516" xr:uid="{00000000-0005-0000-0000-000053130000}"/>
    <cellStyle name="Normal 4 2 4 2 2 7 2" xfId="6800" xr:uid="{00000000-0005-0000-0000-000054130000}"/>
    <cellStyle name="Normal 4 2 4 2 2 7 2 2" xfId="15242" xr:uid="{9DAD7018-7D85-4157-A3F8-60FE42962835}"/>
    <cellStyle name="Normal 4 2 4 2 2 7 3" xfId="11024" xr:uid="{AF574DB5-58B3-4BAF-8D1D-30E9E143CB14}"/>
    <cellStyle name="Normal 4 2 4 2 2 8" xfId="4735" xr:uid="{00000000-0005-0000-0000-000055130000}"/>
    <cellStyle name="Normal 4 2 4 2 2 8 2" xfId="13177" xr:uid="{FA71EBDA-41CD-4F9A-A7AA-D17EDDFB4381}"/>
    <cellStyle name="Normal 4 2 4 2 2 9" xfId="8959" xr:uid="{5F29ED59-B9FE-401A-9122-0E973C0FC9F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C3F10B6A-D7B8-48FC-8081-92947B911BCB}"/>
    <cellStyle name="Normal 4 2 4 2 3 2 2 3" xfId="11519" xr:uid="{43AA3001-59AD-48BA-8B54-DD543EED7104}"/>
    <cellStyle name="Normal 4 2 4 2 3 2 3" xfId="5150" xr:uid="{00000000-0005-0000-0000-00005A130000}"/>
    <cellStyle name="Normal 4 2 4 2 3 2 3 2" xfId="13592" xr:uid="{A781AE4E-9CD5-4F75-9DEE-A6FE33277A55}"/>
    <cellStyle name="Normal 4 2 4 2 3 2 4" xfId="9374" xr:uid="{7F68D260-E8BA-44C7-89AC-00EFF2CBC7A7}"/>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BA866261-74E3-4AEF-B3DA-B2622F37CC00}"/>
    <cellStyle name="Normal 4 2 4 2 3 3 2 3" xfId="11932" xr:uid="{410F204A-8ECE-42F7-A5F9-1BA8CF7BB33F}"/>
    <cellStyle name="Normal 4 2 4 2 3 3 3" xfId="5563" xr:uid="{00000000-0005-0000-0000-00005E130000}"/>
    <cellStyle name="Normal 4 2 4 2 3 3 3 2" xfId="14005" xr:uid="{AF667EB3-87F9-4BC2-8CE8-4C4914E215BA}"/>
    <cellStyle name="Normal 4 2 4 2 3 3 4" xfId="9787" xr:uid="{24F9C779-0B11-4553-8842-6BF210DA0AE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DA68A9CD-2E07-41DF-9C54-01C9F5D1F793}"/>
    <cellStyle name="Normal 4 2 4 2 3 4 2 3" xfId="12345" xr:uid="{F49F5E95-BEAB-4662-BAD9-7E89812934FA}"/>
    <cellStyle name="Normal 4 2 4 2 3 4 3" xfId="5976" xr:uid="{00000000-0005-0000-0000-000062130000}"/>
    <cellStyle name="Normal 4 2 4 2 3 4 3 2" xfId="14418" xr:uid="{E00DBCE5-8D91-4426-8052-A1E4E40E6FD6}"/>
    <cellStyle name="Normal 4 2 4 2 3 4 4" xfId="10200" xr:uid="{FD848954-6148-404C-8A44-E9930014D30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F159BE71-AC5D-4881-87C8-1AE8011CBDAE}"/>
    <cellStyle name="Normal 4 2 4 2 3 5 2 3" xfId="12758" xr:uid="{E6D4954F-AA58-4330-ACF3-530B2DC23408}"/>
    <cellStyle name="Normal 4 2 4 2 3 5 3" xfId="6389" xr:uid="{00000000-0005-0000-0000-000066130000}"/>
    <cellStyle name="Normal 4 2 4 2 3 5 3 2" xfId="14831" xr:uid="{BAC3F858-015C-4466-8900-761303A6CBA9}"/>
    <cellStyle name="Normal 4 2 4 2 3 5 4" xfId="10613" xr:uid="{43094305-DD8E-4A0E-B75F-BF8D159CB171}"/>
    <cellStyle name="Normal 4 2 4 2 3 6" xfId="2518" xr:uid="{00000000-0005-0000-0000-000067130000}"/>
    <cellStyle name="Normal 4 2 4 2 3 6 2" xfId="6802" xr:uid="{00000000-0005-0000-0000-000068130000}"/>
    <cellStyle name="Normal 4 2 4 2 3 6 2 2" xfId="15244" xr:uid="{731502AA-B48A-4C55-ADBA-58055FE3BAB3}"/>
    <cellStyle name="Normal 4 2 4 2 3 6 3" xfId="11026" xr:uid="{4F714305-DD5D-43DA-AED1-22FFB6021466}"/>
    <cellStyle name="Normal 4 2 4 2 3 7" xfId="4737" xr:uid="{00000000-0005-0000-0000-000069130000}"/>
    <cellStyle name="Normal 4 2 4 2 3 7 2" xfId="13179" xr:uid="{3BC2714C-6A12-456A-AD00-2F87D5AEF6F6}"/>
    <cellStyle name="Normal 4 2 4 2 3 8" xfId="8961" xr:uid="{C4281391-90C7-4AC5-9832-F6CCCC4A5F8B}"/>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75B5E7C6-FACE-4D58-9699-F5EFCBFEB8C2}"/>
    <cellStyle name="Normal 4 2 4 2 4 2 3" xfId="11516" xr:uid="{0FA70936-F553-4154-B783-DE4FB5422453}"/>
    <cellStyle name="Normal 4 2 4 2 4 3" xfId="5147" xr:uid="{00000000-0005-0000-0000-00006D130000}"/>
    <cellStyle name="Normal 4 2 4 2 4 3 2" xfId="13589" xr:uid="{99CFDD81-F942-4312-ABD0-62B28901C9FA}"/>
    <cellStyle name="Normal 4 2 4 2 4 4" xfId="9371" xr:uid="{0B643FED-060C-45E4-8212-691A0B88F666}"/>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03BF2EE4-59C1-43CF-8564-4A83322BA639}"/>
    <cellStyle name="Normal 4 2 4 2 5 2 3" xfId="11929" xr:uid="{B164B605-F446-4DD0-B6BC-51CE3458AAAD}"/>
    <cellStyle name="Normal 4 2 4 2 5 3" xfId="5560" xr:uid="{00000000-0005-0000-0000-000071130000}"/>
    <cellStyle name="Normal 4 2 4 2 5 3 2" xfId="14002" xr:uid="{B759A9D9-8B6B-4B5B-BE20-53D1EF8BBC3A}"/>
    <cellStyle name="Normal 4 2 4 2 5 4" xfId="9784" xr:uid="{80817A4A-674D-4885-86C2-C08F80DB8BCF}"/>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C4AE8EA1-7FC2-4563-BAF0-5FA5D76EBF02}"/>
    <cellStyle name="Normal 4 2 4 2 6 2 3" xfId="12342" xr:uid="{3A22EEFA-1D19-4299-9A75-6F6BE6CC0FC6}"/>
    <cellStyle name="Normal 4 2 4 2 6 3" xfId="5973" xr:uid="{00000000-0005-0000-0000-000075130000}"/>
    <cellStyle name="Normal 4 2 4 2 6 3 2" xfId="14415" xr:uid="{5114197A-F0A8-482A-AAE1-C0410E143DA6}"/>
    <cellStyle name="Normal 4 2 4 2 6 4" xfId="10197" xr:uid="{DE39487E-3E24-4E86-977D-B4089040A0DA}"/>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0E02288E-FBA7-46B2-86F5-4C5A8963F847}"/>
    <cellStyle name="Normal 4 2 4 2 7 2 3" xfId="12755" xr:uid="{D0080BCD-468A-4424-831D-2A1A818A8A52}"/>
    <cellStyle name="Normal 4 2 4 2 7 3" xfId="6386" xr:uid="{00000000-0005-0000-0000-000079130000}"/>
    <cellStyle name="Normal 4 2 4 2 7 3 2" xfId="14828" xr:uid="{9B01E7BC-0C04-4450-AEEB-CAD4DC4B3C19}"/>
    <cellStyle name="Normal 4 2 4 2 7 4" xfId="10610" xr:uid="{0449C17E-653A-49C5-90A7-90394B6C6B95}"/>
    <cellStyle name="Normal 4 2 4 2 8" xfId="2515" xr:uid="{00000000-0005-0000-0000-00007A130000}"/>
    <cellStyle name="Normal 4 2 4 2 8 2" xfId="6799" xr:uid="{00000000-0005-0000-0000-00007B130000}"/>
    <cellStyle name="Normal 4 2 4 2 8 2 2" xfId="15241" xr:uid="{F0EA7381-B45A-4A69-89FC-E4A6425E2979}"/>
    <cellStyle name="Normal 4 2 4 2 8 3" xfId="11023" xr:uid="{03ECBD5E-C8C7-45C7-87A0-D95FD79C6020}"/>
    <cellStyle name="Normal 4 2 4 2 9" xfId="4734" xr:uid="{00000000-0005-0000-0000-00007C130000}"/>
    <cellStyle name="Normal 4 2 4 2 9 2" xfId="13176" xr:uid="{16D3EBD1-A82F-4FC7-BD79-340D1D8316D8}"/>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76EDD14A-B12C-4F90-A867-2CCD0DFABA02}"/>
    <cellStyle name="Normal 4 2 4 3 2 2 2 3" xfId="11521" xr:uid="{16655900-8140-4085-AC6B-9A3DAB444D07}"/>
    <cellStyle name="Normal 4 2 4 3 2 2 3" xfId="5152" xr:uid="{00000000-0005-0000-0000-000082130000}"/>
    <cellStyle name="Normal 4 2 4 3 2 2 3 2" xfId="13594" xr:uid="{A07F44D3-2E85-4E41-BBBF-1DC370D06AB7}"/>
    <cellStyle name="Normal 4 2 4 3 2 2 4" xfId="9376" xr:uid="{7CF5921C-F2F6-4FB1-9546-E19B68E7B131}"/>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3FFA4062-C273-4CD6-82C7-7A2A52262C67}"/>
    <cellStyle name="Normal 4 2 4 3 2 3 2 3" xfId="11934" xr:uid="{B5462AAC-75DA-4B43-886A-8F7DCF357FF5}"/>
    <cellStyle name="Normal 4 2 4 3 2 3 3" xfId="5565" xr:uid="{00000000-0005-0000-0000-000086130000}"/>
    <cellStyle name="Normal 4 2 4 3 2 3 3 2" xfId="14007" xr:uid="{8FBFD256-78E6-4AA8-8111-B28A7CEF971B}"/>
    <cellStyle name="Normal 4 2 4 3 2 3 4" xfId="9789" xr:uid="{FF6B5444-AA89-4B3B-843C-31ECEFFCB468}"/>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7EF7CA23-B570-4BA3-A73B-E9A3D9A39559}"/>
    <cellStyle name="Normal 4 2 4 3 2 4 2 3" xfId="12347" xr:uid="{01964968-9CC5-49BA-934F-338CC58E5F87}"/>
    <cellStyle name="Normal 4 2 4 3 2 4 3" xfId="5978" xr:uid="{00000000-0005-0000-0000-00008A130000}"/>
    <cellStyle name="Normal 4 2 4 3 2 4 3 2" xfId="14420" xr:uid="{29CCE8CA-A366-49A9-8F16-5FA208DCBA49}"/>
    <cellStyle name="Normal 4 2 4 3 2 4 4" xfId="10202" xr:uid="{59D44096-DEA8-4342-8166-FF2CD9C61A73}"/>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0823B198-91AF-4CBE-A973-6DFA32BA9B30}"/>
    <cellStyle name="Normal 4 2 4 3 2 5 2 3" xfId="12760" xr:uid="{CBD48849-57FB-4F6E-8598-DAE315F34C48}"/>
    <cellStyle name="Normal 4 2 4 3 2 5 3" xfId="6391" xr:uid="{00000000-0005-0000-0000-00008E130000}"/>
    <cellStyle name="Normal 4 2 4 3 2 5 3 2" xfId="14833" xr:uid="{45C1EEB3-F1A9-4CB4-B4CD-18991FDCD458}"/>
    <cellStyle name="Normal 4 2 4 3 2 5 4" xfId="10615" xr:uid="{6CFB0E77-8EFC-4437-A107-78C8C98EDF35}"/>
    <cellStyle name="Normal 4 2 4 3 2 6" xfId="2520" xr:uid="{00000000-0005-0000-0000-00008F130000}"/>
    <cellStyle name="Normal 4 2 4 3 2 6 2" xfId="6804" xr:uid="{00000000-0005-0000-0000-000090130000}"/>
    <cellStyle name="Normal 4 2 4 3 2 6 2 2" xfId="15246" xr:uid="{B819E849-6B37-4426-8596-BBFCEC055DE1}"/>
    <cellStyle name="Normal 4 2 4 3 2 6 3" xfId="11028" xr:uid="{12F306C8-61DC-444A-8CEE-0323FE43BEAB}"/>
    <cellStyle name="Normal 4 2 4 3 2 7" xfId="4739" xr:uid="{00000000-0005-0000-0000-000091130000}"/>
    <cellStyle name="Normal 4 2 4 3 2 7 2" xfId="13181" xr:uid="{FAA1D2CA-A38B-4EB9-84AD-157B84F88C5C}"/>
    <cellStyle name="Normal 4 2 4 3 2 8" xfId="8963" xr:uid="{DB9BC1B3-1DAA-401A-BD67-5D246951947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9E91A855-CBB5-4810-B790-7D49FC99D50A}"/>
    <cellStyle name="Normal 4 2 4 3 3 2 3" xfId="11520" xr:uid="{02E153CA-5BF0-46AC-B31C-28A262C8343E}"/>
    <cellStyle name="Normal 4 2 4 3 3 3" xfId="5151" xr:uid="{00000000-0005-0000-0000-000095130000}"/>
    <cellStyle name="Normal 4 2 4 3 3 3 2" xfId="13593" xr:uid="{3A05FE84-754D-40DD-96FA-9065B837D1A6}"/>
    <cellStyle name="Normal 4 2 4 3 3 4" xfId="9375" xr:uid="{3DE1E1B9-C23B-40AA-96D9-1FD5DA167C38}"/>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7A797AB6-FD8D-42C9-A98B-5DEA9F99C413}"/>
    <cellStyle name="Normal 4 2 4 3 4 2 3" xfId="11933" xr:uid="{59E1BBEB-F6A4-4109-95F0-6BCADFE03477}"/>
    <cellStyle name="Normal 4 2 4 3 4 3" xfId="5564" xr:uid="{00000000-0005-0000-0000-000099130000}"/>
    <cellStyle name="Normal 4 2 4 3 4 3 2" xfId="14006" xr:uid="{670E97A0-F09B-4D21-A832-8B4CDA5B4FBB}"/>
    <cellStyle name="Normal 4 2 4 3 4 4" xfId="9788" xr:uid="{26A42785-2EE9-4C45-9D08-1C4DBF2048FB}"/>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DE1B998C-ABD9-4436-8D35-75C4D45C563B}"/>
    <cellStyle name="Normal 4 2 4 3 5 2 3" xfId="12346" xr:uid="{A9CCC1E8-89B4-4245-BD5D-E01FD5FC0545}"/>
    <cellStyle name="Normal 4 2 4 3 5 3" xfId="5977" xr:uid="{00000000-0005-0000-0000-00009D130000}"/>
    <cellStyle name="Normal 4 2 4 3 5 3 2" xfId="14419" xr:uid="{C78D8088-E808-4BC7-92B1-28412CE7B133}"/>
    <cellStyle name="Normal 4 2 4 3 5 4" xfId="10201" xr:uid="{9EFE1089-9A24-451C-B45C-5EEAB1D96B4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714908DC-E453-4829-94A1-2257A3AA0E1B}"/>
    <cellStyle name="Normal 4 2 4 3 6 2 3" xfId="12759" xr:uid="{7ECEAAD3-8942-484A-B694-9AAC24B17F82}"/>
    <cellStyle name="Normal 4 2 4 3 6 3" xfId="6390" xr:uid="{00000000-0005-0000-0000-0000A1130000}"/>
    <cellStyle name="Normal 4 2 4 3 6 3 2" xfId="14832" xr:uid="{34111E63-B779-43EC-9940-10B73A6D8A73}"/>
    <cellStyle name="Normal 4 2 4 3 6 4" xfId="10614" xr:uid="{A10BD0F7-B63D-427C-8311-CADC94D8EE4D}"/>
    <cellStyle name="Normal 4 2 4 3 7" xfId="2519" xr:uid="{00000000-0005-0000-0000-0000A2130000}"/>
    <cellStyle name="Normal 4 2 4 3 7 2" xfId="6803" xr:uid="{00000000-0005-0000-0000-0000A3130000}"/>
    <cellStyle name="Normal 4 2 4 3 7 2 2" xfId="15245" xr:uid="{DD64FA76-1DA8-40F0-9D7A-024FC84326F7}"/>
    <cellStyle name="Normal 4 2 4 3 7 3" xfId="11027" xr:uid="{0E8C29EF-7B7D-46D1-A23C-1C43BC4C69D0}"/>
    <cellStyle name="Normal 4 2 4 3 8" xfId="4738" xr:uid="{00000000-0005-0000-0000-0000A4130000}"/>
    <cellStyle name="Normal 4 2 4 3 8 2" xfId="13180" xr:uid="{10F48472-1110-4233-88C9-B47FC2624158}"/>
    <cellStyle name="Normal 4 2 4 3 9" xfId="8962" xr:uid="{97F98C0E-2DEA-44A7-8C8B-F4AC2930B15E}"/>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AD1A8772-249E-4D86-8253-CDC16318427C}"/>
    <cellStyle name="Normal 4 2 4 4 2 2 3" xfId="11522" xr:uid="{0EDE6E80-8ED2-49B6-BAC8-97E4269CB0E2}"/>
    <cellStyle name="Normal 4 2 4 4 2 3" xfId="5153" xr:uid="{00000000-0005-0000-0000-0000A9130000}"/>
    <cellStyle name="Normal 4 2 4 4 2 3 2" xfId="13595" xr:uid="{685664EC-7D98-4BE6-92A7-FB59219B1184}"/>
    <cellStyle name="Normal 4 2 4 4 2 4" xfId="9377" xr:uid="{57CFCB6E-4FDB-4F7D-83F2-83BBBD02C689}"/>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FBF539C5-1696-4E8A-ABB2-DFA313845408}"/>
    <cellStyle name="Normal 4 2 4 4 3 2 3" xfId="11935" xr:uid="{71800004-A782-40A9-B7A4-3BE2C4BD8D2D}"/>
    <cellStyle name="Normal 4 2 4 4 3 3" xfId="5566" xr:uid="{00000000-0005-0000-0000-0000AD130000}"/>
    <cellStyle name="Normal 4 2 4 4 3 3 2" xfId="14008" xr:uid="{756EBBA5-858D-4CBA-AF2A-EFB1E8D051AE}"/>
    <cellStyle name="Normal 4 2 4 4 3 4" xfId="9790" xr:uid="{8E6A793D-4A77-46B3-99A1-10A8A2906EA2}"/>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EF1B948-3A3A-4CBB-B36A-B4AE05DE9EFD}"/>
    <cellStyle name="Normal 4 2 4 4 4 2 3" xfId="12348" xr:uid="{349497E0-5FD9-4DC3-BC29-4E8AE8A887F7}"/>
    <cellStyle name="Normal 4 2 4 4 4 3" xfId="5979" xr:uid="{00000000-0005-0000-0000-0000B1130000}"/>
    <cellStyle name="Normal 4 2 4 4 4 3 2" xfId="14421" xr:uid="{56817EDE-1C8F-437D-8872-50CB54C386B2}"/>
    <cellStyle name="Normal 4 2 4 4 4 4" xfId="10203" xr:uid="{00D2512C-9AE0-4D33-AF40-FA04A3538FB4}"/>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EF088D3-D08D-4352-8B1A-799E676A12F3}"/>
    <cellStyle name="Normal 4 2 4 4 5 2 3" xfId="12761" xr:uid="{2D27E186-2D05-435E-9E3B-32F2B04CCA04}"/>
    <cellStyle name="Normal 4 2 4 4 5 3" xfId="6392" xr:uid="{00000000-0005-0000-0000-0000B5130000}"/>
    <cellStyle name="Normal 4 2 4 4 5 3 2" xfId="14834" xr:uid="{17605AF0-0759-4212-BA97-9BA5C9E0D7D4}"/>
    <cellStyle name="Normal 4 2 4 4 5 4" xfId="10616" xr:uid="{69EBE4D9-1898-452B-BF18-465320338BDE}"/>
    <cellStyle name="Normal 4 2 4 4 6" xfId="2521" xr:uid="{00000000-0005-0000-0000-0000B6130000}"/>
    <cellStyle name="Normal 4 2 4 4 6 2" xfId="6805" xr:uid="{00000000-0005-0000-0000-0000B7130000}"/>
    <cellStyle name="Normal 4 2 4 4 6 2 2" xfId="15247" xr:uid="{7EA57AAE-E72E-4317-AA1C-FF93C5FF5483}"/>
    <cellStyle name="Normal 4 2 4 4 6 3" xfId="11029" xr:uid="{4A05EA0F-3359-45FA-86F3-896BC7AF25A3}"/>
    <cellStyle name="Normal 4 2 4 4 7" xfId="4740" xr:uid="{00000000-0005-0000-0000-0000B8130000}"/>
    <cellStyle name="Normal 4 2 4 4 7 2" xfId="13182" xr:uid="{5F529B5A-DCB4-4C39-A223-C0AB2C54EB45}"/>
    <cellStyle name="Normal 4 2 4 4 8" xfId="8964" xr:uid="{50D0E31F-B548-48D1-9038-E5846D3C00A9}"/>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2CFE3A3B-1FD3-46B0-993F-8B70DB1C4E0A}"/>
    <cellStyle name="Normal 4 2 4 5 2 3" xfId="11515" xr:uid="{FB12B22D-69C2-48F8-848D-7F615610C044}"/>
    <cellStyle name="Normal 4 2 4 5 3" xfId="5146" xr:uid="{00000000-0005-0000-0000-0000BC130000}"/>
    <cellStyle name="Normal 4 2 4 5 3 2" xfId="13588" xr:uid="{7AC87545-552F-4DA3-922E-44884258C073}"/>
    <cellStyle name="Normal 4 2 4 5 4" xfId="9370" xr:uid="{7DC17C41-CFF0-4A1F-8C1F-B8D597662C59}"/>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C0683537-7590-433B-BBEA-503DB0CAF522}"/>
    <cellStyle name="Normal 4 2 4 6 2 3" xfId="11928" xr:uid="{B74C19D7-EB02-4AF0-8CBE-9F3DB4514F98}"/>
    <cellStyle name="Normal 4 2 4 6 3" xfId="5559" xr:uid="{00000000-0005-0000-0000-0000C0130000}"/>
    <cellStyle name="Normal 4 2 4 6 3 2" xfId="14001" xr:uid="{D4D488EF-65E6-4ACC-9486-B63D76D84A75}"/>
    <cellStyle name="Normal 4 2 4 6 4" xfId="9783" xr:uid="{33AAD857-85FC-4B53-9355-7883B4627A85}"/>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53BE08B9-E512-4B39-AF3A-2B320EFC36CF}"/>
    <cellStyle name="Normal 4 2 4 7 2 3" xfId="12341" xr:uid="{1C0E5919-D638-4812-8D68-857DFB037FD7}"/>
    <cellStyle name="Normal 4 2 4 7 3" xfId="5972" xr:uid="{00000000-0005-0000-0000-0000C4130000}"/>
    <cellStyle name="Normal 4 2 4 7 3 2" xfId="14414" xr:uid="{AA19EBCB-520E-4769-8277-5A25A1D123DF}"/>
    <cellStyle name="Normal 4 2 4 7 4" xfId="10196" xr:uid="{C897ABBC-EFFC-400E-BED3-D481D31403EE}"/>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66C97027-1323-4047-B27F-9F90F2253860}"/>
    <cellStyle name="Normal 4 2 4 8 2 3" xfId="12754" xr:uid="{BAE4312D-56F6-4E32-A143-CD1D0EC072C8}"/>
    <cellStyle name="Normal 4 2 4 8 3" xfId="6385" xr:uid="{00000000-0005-0000-0000-0000C8130000}"/>
    <cellStyle name="Normal 4 2 4 8 3 2" xfId="14827" xr:uid="{5BBC7B17-7399-4B41-9343-0C38B9AA6055}"/>
    <cellStyle name="Normal 4 2 4 8 4" xfId="10609" xr:uid="{B8F331ED-708C-4FD3-82F5-74A72B40A036}"/>
    <cellStyle name="Normal 4 2 4 9" xfId="2514" xr:uid="{00000000-0005-0000-0000-0000C9130000}"/>
    <cellStyle name="Normal 4 2 4 9 2" xfId="6798" xr:uid="{00000000-0005-0000-0000-0000CA130000}"/>
    <cellStyle name="Normal 4 2 4 9 2 2" xfId="15240" xr:uid="{353E2B78-F451-4C95-A809-9DDD000BE896}"/>
    <cellStyle name="Normal 4 2 4 9 3" xfId="11022" xr:uid="{4CBC6AB2-ECED-40AD-8E1F-E8CFD26F3F7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4BA579C2-4BF0-49FB-8B26-D69D405878AA}"/>
    <cellStyle name="Normal 4 2 5 2 2 2 3" xfId="11524" xr:uid="{0A5B41F8-6FCE-473A-A35D-4DCBE9F4D963}"/>
    <cellStyle name="Normal 4 2 5 2 2 3" xfId="5155" xr:uid="{00000000-0005-0000-0000-0000D0130000}"/>
    <cellStyle name="Normal 4 2 5 2 2 3 2" xfId="13597" xr:uid="{0A3B4F7D-C31E-4BAA-9CFA-B3F8028C660B}"/>
    <cellStyle name="Normal 4 2 5 2 2 4" xfId="9379" xr:uid="{F61179B4-39DB-4840-83D0-663950B8B192}"/>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352B4AB8-AE83-473B-858B-E172D0C087F0}"/>
    <cellStyle name="Normal 4 2 5 2 3 2 3" xfId="11937" xr:uid="{222B433F-0290-4FB8-B937-AA1C6A487048}"/>
    <cellStyle name="Normal 4 2 5 2 3 3" xfId="5568" xr:uid="{00000000-0005-0000-0000-0000D4130000}"/>
    <cellStyle name="Normal 4 2 5 2 3 3 2" xfId="14010" xr:uid="{EF5CBFCF-0E42-4625-9E0A-3707304CE603}"/>
    <cellStyle name="Normal 4 2 5 2 3 4" xfId="9792" xr:uid="{AA930AAB-3489-4B79-9AA8-52BD878CF6CE}"/>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DFAF4466-FDCB-43FB-BF6C-1BD548AC080D}"/>
    <cellStyle name="Normal 4 2 5 2 4 2 3" xfId="12350" xr:uid="{AD85C989-A503-4FD5-9B49-B311AC3F8C15}"/>
    <cellStyle name="Normal 4 2 5 2 4 3" xfId="5981" xr:uid="{00000000-0005-0000-0000-0000D8130000}"/>
    <cellStyle name="Normal 4 2 5 2 4 3 2" xfId="14423" xr:uid="{A398815D-B990-4E64-AE27-DEE717BB9FB3}"/>
    <cellStyle name="Normal 4 2 5 2 4 4" xfId="10205" xr:uid="{26917D2E-299C-45F7-9DD1-6E498B0BB6DF}"/>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3C2A0265-4882-44C5-9714-67AD9807F38F}"/>
    <cellStyle name="Normal 4 2 5 2 5 2 3" xfId="12763" xr:uid="{0EA29B49-88F9-4AF0-B902-0A2C8F16A9C4}"/>
    <cellStyle name="Normal 4 2 5 2 5 3" xfId="6394" xr:uid="{00000000-0005-0000-0000-0000DC130000}"/>
    <cellStyle name="Normal 4 2 5 2 5 3 2" xfId="14836" xr:uid="{5304AE3F-B573-403E-98E6-14065DC87F7D}"/>
    <cellStyle name="Normal 4 2 5 2 5 4" xfId="10618" xr:uid="{6C4731CC-F242-40E7-9461-CD14015BAEBE}"/>
    <cellStyle name="Normal 4 2 5 2 6" xfId="2523" xr:uid="{00000000-0005-0000-0000-0000DD130000}"/>
    <cellStyle name="Normal 4 2 5 2 6 2" xfId="6807" xr:uid="{00000000-0005-0000-0000-0000DE130000}"/>
    <cellStyle name="Normal 4 2 5 2 6 2 2" xfId="15249" xr:uid="{36DCD7F2-C6CB-4D0D-9663-A5568A1C462A}"/>
    <cellStyle name="Normal 4 2 5 2 6 3" xfId="11031" xr:uid="{95E5ACE1-B3F9-469A-A96F-C89C9807D1F7}"/>
    <cellStyle name="Normal 4 2 5 2 7" xfId="4742" xr:uid="{00000000-0005-0000-0000-0000DF130000}"/>
    <cellStyle name="Normal 4 2 5 2 7 2" xfId="13184" xr:uid="{B9841888-8717-42CE-8957-B38EE8FBAE61}"/>
    <cellStyle name="Normal 4 2 5 2 8" xfId="8966" xr:uid="{6AC745C2-167A-4FE7-906F-EB4E95E14104}"/>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F347936-F8EF-4D04-9306-0C3DB4032B39}"/>
    <cellStyle name="Normal 4 2 5 3 2 3" xfId="11523" xr:uid="{39CB53F9-EACF-4844-8805-E299F49BC312}"/>
    <cellStyle name="Normal 4 2 5 3 3" xfId="5154" xr:uid="{00000000-0005-0000-0000-0000E3130000}"/>
    <cellStyle name="Normal 4 2 5 3 3 2" xfId="13596" xr:uid="{6622ED50-4904-4F8D-ACF3-B91305CF16BD}"/>
    <cellStyle name="Normal 4 2 5 3 4" xfId="9378" xr:uid="{BAA4E8B5-4FC5-4D32-A114-9B8006231349}"/>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90F29378-07CD-4982-87ED-C3F6A06EFCDF}"/>
    <cellStyle name="Normal 4 2 5 4 2 3" xfId="11936" xr:uid="{F5F61863-9A5B-4399-8C58-35F543CEF76E}"/>
    <cellStyle name="Normal 4 2 5 4 3" xfId="5567" xr:uid="{00000000-0005-0000-0000-0000E7130000}"/>
    <cellStyle name="Normal 4 2 5 4 3 2" xfId="14009" xr:uid="{44770505-4771-42C3-9235-F794DB694DD2}"/>
    <cellStyle name="Normal 4 2 5 4 4" xfId="9791" xr:uid="{C68CF73C-101A-47FE-8BBA-20550A9D96F8}"/>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48A0683E-32A7-4FA8-97DB-89086820B00B}"/>
    <cellStyle name="Normal 4 2 5 5 2 3" xfId="12349" xr:uid="{84DAF83A-34BA-47C5-8660-235276F55354}"/>
    <cellStyle name="Normal 4 2 5 5 3" xfId="5980" xr:uid="{00000000-0005-0000-0000-0000EB130000}"/>
    <cellStyle name="Normal 4 2 5 5 3 2" xfId="14422" xr:uid="{9CDD45AB-6A3B-4535-8F23-EA88B66E5BE4}"/>
    <cellStyle name="Normal 4 2 5 5 4" xfId="10204" xr:uid="{C4CC79D4-36A6-48A0-B2BE-C2DF74A605E7}"/>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2F7CD3F0-9C70-4013-BE7C-4AF6EEF1309F}"/>
    <cellStyle name="Normal 4 2 5 6 2 3" xfId="12762" xr:uid="{A8E20EA2-B6CB-4E11-A0A7-19541C67A1B3}"/>
    <cellStyle name="Normal 4 2 5 6 3" xfId="6393" xr:uid="{00000000-0005-0000-0000-0000EF130000}"/>
    <cellStyle name="Normal 4 2 5 6 3 2" xfId="14835" xr:uid="{F99BCC36-D05D-4A1C-B807-9BBD6089FE93}"/>
    <cellStyle name="Normal 4 2 5 6 4" xfId="10617" xr:uid="{5B26D00A-7C47-4D6D-9A11-B1B1248951D5}"/>
    <cellStyle name="Normal 4 2 5 7" xfId="2522" xr:uid="{00000000-0005-0000-0000-0000F0130000}"/>
    <cellStyle name="Normal 4 2 5 7 2" xfId="6806" xr:uid="{00000000-0005-0000-0000-0000F1130000}"/>
    <cellStyle name="Normal 4 2 5 7 2 2" xfId="15248" xr:uid="{9559E5C1-EFD6-4131-86B9-20FA846883C5}"/>
    <cellStyle name="Normal 4 2 5 7 3" xfId="11030" xr:uid="{A35AF646-0927-4EBB-A5F1-6A1DE0A22B26}"/>
    <cellStyle name="Normal 4 2 5 8" xfId="4741" xr:uid="{00000000-0005-0000-0000-0000F2130000}"/>
    <cellStyle name="Normal 4 2 5 8 2" xfId="13183" xr:uid="{83B4EA94-B4BA-4674-98D5-E8728E2E92BD}"/>
    <cellStyle name="Normal 4 2 5 9" xfId="8965" xr:uid="{7F5677EB-9042-4869-A030-68621DA68275}"/>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9A125676-A09E-4078-A4D3-D04A080BE573}"/>
    <cellStyle name="Normal 4 2 6 2 2 3" xfId="11525" xr:uid="{AEAEA035-A2ED-4EFA-9B87-C0335843909C}"/>
    <cellStyle name="Normal 4 2 6 2 3" xfId="5156" xr:uid="{00000000-0005-0000-0000-0000F7130000}"/>
    <cellStyle name="Normal 4 2 6 2 3 2" xfId="13598" xr:uid="{031DC9E5-821A-4AA8-BFAC-161BAE2E5BBF}"/>
    <cellStyle name="Normal 4 2 6 2 4" xfId="9380" xr:uid="{7D4C257C-86EC-42C5-A25A-6CCD3C1DC733}"/>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766A5451-7726-439D-834F-4639E6488D47}"/>
    <cellStyle name="Normal 4 2 6 3 2 3" xfId="11938" xr:uid="{56BB1E78-A8FE-4A62-AC16-4DE14CD3BB07}"/>
    <cellStyle name="Normal 4 2 6 3 3" xfId="5569" xr:uid="{00000000-0005-0000-0000-0000FB130000}"/>
    <cellStyle name="Normal 4 2 6 3 3 2" xfId="14011" xr:uid="{21C3AB5E-2AC5-40CE-9489-168F84F3BE95}"/>
    <cellStyle name="Normal 4 2 6 3 4" xfId="9793" xr:uid="{745A31A8-608B-4A71-90C3-6C2A8594987E}"/>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B1EE205C-040B-4AAE-8468-47A5F3E5D49E}"/>
    <cellStyle name="Normal 4 2 6 4 2 3" xfId="12351" xr:uid="{75C03294-03C0-4533-9750-F59CB1B81D9F}"/>
    <cellStyle name="Normal 4 2 6 4 3" xfId="5982" xr:uid="{00000000-0005-0000-0000-0000FF130000}"/>
    <cellStyle name="Normal 4 2 6 4 3 2" xfId="14424" xr:uid="{F5868769-18B3-41B9-81D8-970A37FA60A1}"/>
    <cellStyle name="Normal 4 2 6 4 4" xfId="10206" xr:uid="{4F4EEFC7-B07F-43C0-9F53-0242872E9BCE}"/>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296ECEF3-94AB-4EBE-B2C4-26C2D9C031D7}"/>
    <cellStyle name="Normal 4 2 6 5 2 3" xfId="12764" xr:uid="{025EB262-791D-4BE7-B9F6-CD2573AEFFE1}"/>
    <cellStyle name="Normal 4 2 6 5 3" xfId="6395" xr:uid="{00000000-0005-0000-0000-000003140000}"/>
    <cellStyle name="Normal 4 2 6 5 3 2" xfId="14837" xr:uid="{54B95022-DBDC-4555-B7AE-485BBBE57B5D}"/>
    <cellStyle name="Normal 4 2 6 5 4" xfId="10619" xr:uid="{ABB1D09A-DBD3-44A2-B081-27DC30BD8FE6}"/>
    <cellStyle name="Normal 4 2 6 6" xfId="2524" xr:uid="{00000000-0005-0000-0000-000004140000}"/>
    <cellStyle name="Normal 4 2 6 6 2" xfId="6808" xr:uid="{00000000-0005-0000-0000-000005140000}"/>
    <cellStyle name="Normal 4 2 6 6 2 2" xfId="15250" xr:uid="{3996B8AE-F67C-4C65-BDAE-7898A9FEE4BB}"/>
    <cellStyle name="Normal 4 2 6 6 3" xfId="11032" xr:uid="{64A2E892-1509-44BA-9C33-6B1A6A43F949}"/>
    <cellStyle name="Normal 4 2 6 7" xfId="4743" xr:uid="{00000000-0005-0000-0000-000006140000}"/>
    <cellStyle name="Normal 4 2 6 7 2" xfId="13185" xr:uid="{3BA87D7C-3A40-44D3-9FF7-7537D454C3F4}"/>
    <cellStyle name="Normal 4 2 6 8" xfId="8967" xr:uid="{F5431A3A-058F-4A66-93D9-430C1086C7B4}"/>
    <cellStyle name="Normal 4 3" xfId="366" xr:uid="{00000000-0005-0000-0000-000007140000}"/>
    <cellStyle name="Normal 4 3 10" xfId="8968" xr:uid="{575E5F34-7B59-4D11-AF1A-A76A5F97EACA}"/>
    <cellStyle name="Normal 4 3 2" xfId="367" xr:uid="{00000000-0005-0000-0000-000008140000}"/>
    <cellStyle name="Normal 4 3 2 2" xfId="368" xr:uid="{00000000-0005-0000-0000-000009140000}"/>
    <cellStyle name="Normal 4 3 2 2 2" xfId="369" xr:uid="{00000000-0005-0000-0000-00000A140000}"/>
    <cellStyle name="Normal 4 3 2 2 2 10" xfId="8969" xr:uid="{DA831E90-BF03-4997-9841-B66F062C47B1}"/>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F9DE6129-ACFA-449B-B67D-B14ECBBAB8BE}"/>
    <cellStyle name="Normal 4 3 2 2 2 2 2 2 2 3" xfId="11529" xr:uid="{6C6923F4-1EBE-4CFD-B931-A7928BE191A3}"/>
    <cellStyle name="Normal 4 3 2 2 2 2 2 2 3" xfId="5160" xr:uid="{00000000-0005-0000-0000-000010140000}"/>
    <cellStyle name="Normal 4 3 2 2 2 2 2 2 3 2" xfId="13602" xr:uid="{B9800732-DE33-47F8-8E62-6EFC08F01803}"/>
    <cellStyle name="Normal 4 3 2 2 2 2 2 2 4" xfId="9384" xr:uid="{FA736A03-6CEA-4FA2-981C-323E7001E466}"/>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B417DFEB-6DD8-4C70-B22F-F960F7451433}"/>
    <cellStyle name="Normal 4 3 2 2 2 2 2 3 2 3" xfId="11942" xr:uid="{E0A7E0A4-6606-4923-BCC0-04DC2FFC61C5}"/>
    <cellStyle name="Normal 4 3 2 2 2 2 2 3 3" xfId="5573" xr:uid="{00000000-0005-0000-0000-000014140000}"/>
    <cellStyle name="Normal 4 3 2 2 2 2 2 3 3 2" xfId="14015" xr:uid="{B93E95DC-726D-4FAB-B1CB-0F2E41551EB3}"/>
    <cellStyle name="Normal 4 3 2 2 2 2 2 3 4" xfId="9797" xr:uid="{46F27AF5-4723-4432-81F0-04314C2AB0D5}"/>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FC2A94B6-393B-405F-BAB0-76A3E72B0F0D}"/>
    <cellStyle name="Normal 4 3 2 2 2 2 2 4 2 3" xfId="12355" xr:uid="{19FA12D7-C8E0-4CE3-B8BA-11A3CDBF3CC3}"/>
    <cellStyle name="Normal 4 3 2 2 2 2 2 4 3" xfId="5986" xr:uid="{00000000-0005-0000-0000-000018140000}"/>
    <cellStyle name="Normal 4 3 2 2 2 2 2 4 3 2" xfId="14428" xr:uid="{E3EC96FA-1856-4519-ADCD-2A95B24F1345}"/>
    <cellStyle name="Normal 4 3 2 2 2 2 2 4 4" xfId="10210" xr:uid="{061CCB70-6168-46DB-AE61-880C1A5651A2}"/>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9573B944-CB84-4D4E-9187-9F496BFE4DD5}"/>
    <cellStyle name="Normal 4 3 2 2 2 2 2 5 2 3" xfId="12768" xr:uid="{C5B91034-4394-409D-846E-4758F4351FAF}"/>
    <cellStyle name="Normal 4 3 2 2 2 2 2 5 3" xfId="6399" xr:uid="{00000000-0005-0000-0000-00001C140000}"/>
    <cellStyle name="Normal 4 3 2 2 2 2 2 5 3 2" xfId="14841" xr:uid="{ECD6C349-4324-430C-A8F0-4EACDD76F91F}"/>
    <cellStyle name="Normal 4 3 2 2 2 2 2 5 4" xfId="10623" xr:uid="{755CF69C-6D3A-4C14-8C13-4D90EE7ACF8D}"/>
    <cellStyle name="Normal 4 3 2 2 2 2 2 6" xfId="2528" xr:uid="{00000000-0005-0000-0000-00001D140000}"/>
    <cellStyle name="Normal 4 3 2 2 2 2 2 6 2" xfId="6812" xr:uid="{00000000-0005-0000-0000-00001E140000}"/>
    <cellStyle name="Normal 4 3 2 2 2 2 2 6 2 2" xfId="15254" xr:uid="{4C970CCE-4705-44E1-A446-855DC7F73F1B}"/>
    <cellStyle name="Normal 4 3 2 2 2 2 2 6 3" xfId="11036" xr:uid="{E253E450-EE06-4E89-9B64-DACD9C00C38C}"/>
    <cellStyle name="Normal 4 3 2 2 2 2 2 7" xfId="4747" xr:uid="{00000000-0005-0000-0000-00001F140000}"/>
    <cellStyle name="Normal 4 3 2 2 2 2 2 7 2" xfId="13189" xr:uid="{44511E5E-3495-473D-89CE-1AE32AF53B18}"/>
    <cellStyle name="Normal 4 3 2 2 2 2 2 8" xfId="8971" xr:uid="{BD6077DC-5CB2-438A-9C7B-34ED18CA9B75}"/>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C535898C-B956-4F9C-A412-5664FF6EF48B}"/>
    <cellStyle name="Normal 4 3 2 2 2 2 3 2 3" xfId="11528" xr:uid="{030F7A44-5B19-40E0-B3C5-BB09EC49C55F}"/>
    <cellStyle name="Normal 4 3 2 2 2 2 3 3" xfId="5159" xr:uid="{00000000-0005-0000-0000-000023140000}"/>
    <cellStyle name="Normal 4 3 2 2 2 2 3 3 2" xfId="13601" xr:uid="{13CC5BB2-7924-42EC-8006-0F81A23DE5A3}"/>
    <cellStyle name="Normal 4 3 2 2 2 2 3 4" xfId="9383" xr:uid="{F7D81FD0-33B7-48A3-B6C5-736DC026086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A1DA7017-2873-49AC-81AC-50920AC6A36C}"/>
    <cellStyle name="Normal 4 3 2 2 2 2 4 2 3" xfId="11941" xr:uid="{80996E90-59E3-42D9-9391-BE71547C0AD4}"/>
    <cellStyle name="Normal 4 3 2 2 2 2 4 3" xfId="5572" xr:uid="{00000000-0005-0000-0000-000027140000}"/>
    <cellStyle name="Normal 4 3 2 2 2 2 4 3 2" xfId="14014" xr:uid="{D662769B-0D79-4518-874E-583D647E8C3A}"/>
    <cellStyle name="Normal 4 3 2 2 2 2 4 4" xfId="9796" xr:uid="{66007985-19C1-40FE-B1D5-F11749724975}"/>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FCF1CA9D-DD8D-4658-B9A0-F1C5D5F15F63}"/>
    <cellStyle name="Normal 4 3 2 2 2 2 5 2 3" xfId="12354" xr:uid="{8B98F8ED-6F38-4F72-9366-4F5B1B31A2BF}"/>
    <cellStyle name="Normal 4 3 2 2 2 2 5 3" xfId="5985" xr:uid="{00000000-0005-0000-0000-00002B140000}"/>
    <cellStyle name="Normal 4 3 2 2 2 2 5 3 2" xfId="14427" xr:uid="{C4E6A470-5B5B-4FB4-88BB-F63468642629}"/>
    <cellStyle name="Normal 4 3 2 2 2 2 5 4" xfId="10209" xr:uid="{4EB61BAA-BC59-4BAE-BE2D-EDBA899E47EC}"/>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8628A73D-D436-489F-9CEF-50DC94EF2C45}"/>
    <cellStyle name="Normal 4 3 2 2 2 2 6 2 3" xfId="12767" xr:uid="{82C251C7-EAD0-404C-BEED-4093459D09F5}"/>
    <cellStyle name="Normal 4 3 2 2 2 2 6 3" xfId="6398" xr:uid="{00000000-0005-0000-0000-00002F140000}"/>
    <cellStyle name="Normal 4 3 2 2 2 2 6 3 2" xfId="14840" xr:uid="{11B2625E-6E53-46B5-9A6B-CC5870A4DFD6}"/>
    <cellStyle name="Normal 4 3 2 2 2 2 6 4" xfId="10622" xr:uid="{BDF86375-C6E0-49BB-9436-3007F6F60145}"/>
    <cellStyle name="Normal 4 3 2 2 2 2 7" xfId="2527" xr:uid="{00000000-0005-0000-0000-000030140000}"/>
    <cellStyle name="Normal 4 3 2 2 2 2 7 2" xfId="6811" xr:uid="{00000000-0005-0000-0000-000031140000}"/>
    <cellStyle name="Normal 4 3 2 2 2 2 7 2 2" xfId="15253" xr:uid="{6C6E8687-D331-4697-B9FD-599288FC0A4F}"/>
    <cellStyle name="Normal 4 3 2 2 2 2 7 3" xfId="11035" xr:uid="{1BDE054D-1FC2-452F-81B2-09549C3E8668}"/>
    <cellStyle name="Normal 4 3 2 2 2 2 8" xfId="4746" xr:uid="{00000000-0005-0000-0000-000032140000}"/>
    <cellStyle name="Normal 4 3 2 2 2 2 8 2" xfId="13188" xr:uid="{BC67B098-C680-4067-AAF0-D57D1A3D04CB}"/>
    <cellStyle name="Normal 4 3 2 2 2 2 9" xfId="8970" xr:uid="{F03A2765-883A-415F-89B2-9DD078EEC1B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ACF5F097-02A1-440B-92E8-E4C96D0754C7}"/>
    <cellStyle name="Normal 4 3 2 2 2 3 2 2 3" xfId="11530" xr:uid="{9FBFFECE-40FF-4E57-9CBD-CDE2AA82314F}"/>
    <cellStyle name="Normal 4 3 2 2 2 3 2 3" xfId="5161" xr:uid="{00000000-0005-0000-0000-000037140000}"/>
    <cellStyle name="Normal 4 3 2 2 2 3 2 3 2" xfId="13603" xr:uid="{A8066AA6-A4C2-4EBA-93D4-09DB88D1C7A7}"/>
    <cellStyle name="Normal 4 3 2 2 2 3 2 4" xfId="9385" xr:uid="{006F7CC8-8591-46D5-A930-7ECEFCA29B2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3A5B53E8-20B9-481B-BFD6-01342A2115C7}"/>
    <cellStyle name="Normal 4 3 2 2 2 3 3 2 3" xfId="11943" xr:uid="{AA46BDF0-3FF6-499D-8305-90874C6DB3C0}"/>
    <cellStyle name="Normal 4 3 2 2 2 3 3 3" xfId="5574" xr:uid="{00000000-0005-0000-0000-00003B140000}"/>
    <cellStyle name="Normal 4 3 2 2 2 3 3 3 2" xfId="14016" xr:uid="{261EFA83-0976-4C72-BBCA-3B4A34748913}"/>
    <cellStyle name="Normal 4 3 2 2 2 3 3 4" xfId="9798" xr:uid="{D3848A57-AF85-42D6-ADA5-DAB61C36CF96}"/>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27DE2827-61E0-45FC-8870-027B79ED899D}"/>
    <cellStyle name="Normal 4 3 2 2 2 3 4 2 3" xfId="12356" xr:uid="{50893220-6875-408F-A500-C66A0ADC4D82}"/>
    <cellStyle name="Normal 4 3 2 2 2 3 4 3" xfId="5987" xr:uid="{00000000-0005-0000-0000-00003F140000}"/>
    <cellStyle name="Normal 4 3 2 2 2 3 4 3 2" xfId="14429" xr:uid="{CEE7E63A-3684-48B4-8413-60BC0760D95E}"/>
    <cellStyle name="Normal 4 3 2 2 2 3 4 4" xfId="10211" xr:uid="{1D788EBB-A503-4FF7-88F4-A5BA59D51BF3}"/>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37B825B6-198F-4278-97CB-5FBF61BDC800}"/>
    <cellStyle name="Normal 4 3 2 2 2 3 5 2 3" xfId="12769" xr:uid="{1F3C8064-626E-4C1A-A5BD-109CEE7C72F8}"/>
    <cellStyle name="Normal 4 3 2 2 2 3 5 3" xfId="6400" xr:uid="{00000000-0005-0000-0000-000043140000}"/>
    <cellStyle name="Normal 4 3 2 2 2 3 5 3 2" xfId="14842" xr:uid="{8589E864-06E1-428F-9FDE-0EBAA5C28608}"/>
    <cellStyle name="Normal 4 3 2 2 2 3 5 4" xfId="10624" xr:uid="{2395FB5C-6771-4256-B99C-1B1806F1F42B}"/>
    <cellStyle name="Normal 4 3 2 2 2 3 6" xfId="2529" xr:uid="{00000000-0005-0000-0000-000044140000}"/>
    <cellStyle name="Normal 4 3 2 2 2 3 6 2" xfId="6813" xr:uid="{00000000-0005-0000-0000-000045140000}"/>
    <cellStyle name="Normal 4 3 2 2 2 3 6 2 2" xfId="15255" xr:uid="{3EF50BB3-C862-464B-92E1-43F5EE6BF5CA}"/>
    <cellStyle name="Normal 4 3 2 2 2 3 6 3" xfId="11037" xr:uid="{35A8CE58-DC8D-44AF-97B5-B90111EC9235}"/>
    <cellStyle name="Normal 4 3 2 2 2 3 7" xfId="4748" xr:uid="{00000000-0005-0000-0000-000046140000}"/>
    <cellStyle name="Normal 4 3 2 2 2 3 7 2" xfId="13190" xr:uid="{48D85F7F-0401-4570-B82B-5D7E4E38032E}"/>
    <cellStyle name="Normal 4 3 2 2 2 3 8" xfId="8972" xr:uid="{B4BE0B15-E770-4B27-83DE-CD998B934DDE}"/>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8AC27F04-B8FD-4EB3-A583-9EC6880670D7}"/>
    <cellStyle name="Normal 4 3 2 2 2 4 2 3" xfId="11527" xr:uid="{1EFAF3A5-1955-4FE0-BA2B-7AA9C04C8EEC}"/>
    <cellStyle name="Normal 4 3 2 2 2 4 3" xfId="5158" xr:uid="{00000000-0005-0000-0000-00004A140000}"/>
    <cellStyle name="Normal 4 3 2 2 2 4 3 2" xfId="13600" xr:uid="{BF610A50-5238-4944-87CC-D56A0398D3A7}"/>
    <cellStyle name="Normal 4 3 2 2 2 4 4" xfId="9382" xr:uid="{A4DE5F77-8671-423F-85D2-6695C01A6C32}"/>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86EA7F8C-9D47-406A-A8DA-CC0D4288E23A}"/>
    <cellStyle name="Normal 4 3 2 2 2 5 2 3" xfId="11940" xr:uid="{36E2DDD3-B978-4347-BDC9-17260BB13D99}"/>
    <cellStyle name="Normal 4 3 2 2 2 5 3" xfId="5571" xr:uid="{00000000-0005-0000-0000-00004E140000}"/>
    <cellStyle name="Normal 4 3 2 2 2 5 3 2" xfId="14013" xr:uid="{59F94B60-A611-4ECE-8233-D881D921A974}"/>
    <cellStyle name="Normal 4 3 2 2 2 5 4" xfId="9795" xr:uid="{7991C651-DB46-481B-8460-C194418744DE}"/>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2D2443D3-E043-489E-A5D9-A1F939C52230}"/>
    <cellStyle name="Normal 4 3 2 2 2 6 2 3" xfId="12353" xr:uid="{DF9B09BE-9F0B-4156-9036-7C77C1AA3394}"/>
    <cellStyle name="Normal 4 3 2 2 2 6 3" xfId="5984" xr:uid="{00000000-0005-0000-0000-000052140000}"/>
    <cellStyle name="Normal 4 3 2 2 2 6 3 2" xfId="14426" xr:uid="{47B244EB-5020-4D09-BE8C-D22F537B7110}"/>
    <cellStyle name="Normal 4 3 2 2 2 6 4" xfId="10208" xr:uid="{C90082CA-164D-41F1-9877-74E4052D2CB9}"/>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31A1D781-D821-468D-B0CF-EA01159C4FA0}"/>
    <cellStyle name="Normal 4 3 2 2 2 7 2 3" xfId="12766" xr:uid="{11C24AD4-6ED6-47FA-A88F-FE0FF8E0D8AA}"/>
    <cellStyle name="Normal 4 3 2 2 2 7 3" xfId="6397" xr:uid="{00000000-0005-0000-0000-000056140000}"/>
    <cellStyle name="Normal 4 3 2 2 2 7 3 2" xfId="14839" xr:uid="{2958DB31-8ACA-4670-8008-3C3CE536367C}"/>
    <cellStyle name="Normal 4 3 2 2 2 7 4" xfId="10621" xr:uid="{C37FEF61-4E9E-447A-9C2A-CF25542315E8}"/>
    <cellStyle name="Normal 4 3 2 2 2 8" xfId="2526" xr:uid="{00000000-0005-0000-0000-000057140000}"/>
    <cellStyle name="Normal 4 3 2 2 2 8 2" xfId="6810" xr:uid="{00000000-0005-0000-0000-000058140000}"/>
    <cellStyle name="Normal 4 3 2 2 2 8 2 2" xfId="15252" xr:uid="{FE399628-CB65-4035-8138-80005853A92F}"/>
    <cellStyle name="Normal 4 3 2 2 2 8 3" xfId="11034" xr:uid="{9438E636-2A6D-4A9C-B39E-972E6BFFF644}"/>
    <cellStyle name="Normal 4 3 2 2 2 9" xfId="4745" xr:uid="{00000000-0005-0000-0000-000059140000}"/>
    <cellStyle name="Normal 4 3 2 2 2 9 2" xfId="13187" xr:uid="{E9C0B2C2-7F19-4CAC-8563-60E87344D7E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D94DD842-0758-4A2F-A791-D8CECC47D7D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9DC0D17D-461B-437D-AE4B-435973DF2E1B}"/>
    <cellStyle name="Normal 4 3 3 2 2 2 2 3" xfId="11533" xr:uid="{A9E9A7A7-C1E4-4606-BB7B-17DFB90C188F}"/>
    <cellStyle name="Normal 4 3 3 2 2 2 3" xfId="5164" xr:uid="{00000000-0005-0000-0000-000063140000}"/>
    <cellStyle name="Normal 4 3 3 2 2 2 3 2" xfId="13606" xr:uid="{EF7E06B9-B274-4AEB-BCF9-2FC56B5EB3EC}"/>
    <cellStyle name="Normal 4 3 3 2 2 2 4" xfId="9388" xr:uid="{6FAEE206-0BC0-42EF-B1CB-B83F62D7D539}"/>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2D1CA464-83F4-463F-8059-EB4B24CC1A5C}"/>
    <cellStyle name="Normal 4 3 3 2 2 3 2 3" xfId="11946" xr:uid="{1A44F7DA-4F74-4C7E-8C10-9E08B9DDEAB6}"/>
    <cellStyle name="Normal 4 3 3 2 2 3 3" xfId="5577" xr:uid="{00000000-0005-0000-0000-000067140000}"/>
    <cellStyle name="Normal 4 3 3 2 2 3 3 2" xfId="14019" xr:uid="{C29371DF-90BD-4EEF-8894-BB4148A4168B}"/>
    <cellStyle name="Normal 4 3 3 2 2 3 4" xfId="9801" xr:uid="{B09142F4-1EDD-4FB4-B747-1C7215E292B4}"/>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66E0BCB4-57BB-47A0-A04E-EB1AB0B46B4F}"/>
    <cellStyle name="Normal 4 3 3 2 2 4 2 3" xfId="12359" xr:uid="{34E60C5F-BC1E-450F-9126-CBCF0E923C93}"/>
    <cellStyle name="Normal 4 3 3 2 2 4 3" xfId="5990" xr:uid="{00000000-0005-0000-0000-00006B140000}"/>
    <cellStyle name="Normal 4 3 3 2 2 4 3 2" xfId="14432" xr:uid="{C2168AC1-2D64-4C38-8F27-9184317C211B}"/>
    <cellStyle name="Normal 4 3 3 2 2 4 4" xfId="10214" xr:uid="{82287730-7973-46AB-98C8-BAC11C15D40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1650F6D1-591A-4E00-AE4D-A53A0BF6A149}"/>
    <cellStyle name="Normal 4 3 3 2 2 5 2 3" xfId="12772" xr:uid="{B7B0BFF1-9B68-4239-9A4D-FC9D7B2ECE05}"/>
    <cellStyle name="Normal 4 3 3 2 2 5 3" xfId="6403" xr:uid="{00000000-0005-0000-0000-00006F140000}"/>
    <cellStyle name="Normal 4 3 3 2 2 5 3 2" xfId="14845" xr:uid="{466EA625-B4FC-405D-941B-A07D9C0EDABA}"/>
    <cellStyle name="Normal 4 3 3 2 2 5 4" xfId="10627" xr:uid="{60ADC4FE-AF43-4D86-B202-C8B36ED99056}"/>
    <cellStyle name="Normal 4 3 3 2 2 6" xfId="2532" xr:uid="{00000000-0005-0000-0000-000070140000}"/>
    <cellStyle name="Normal 4 3 3 2 2 6 2" xfId="6816" xr:uid="{00000000-0005-0000-0000-000071140000}"/>
    <cellStyle name="Normal 4 3 3 2 2 6 2 2" xfId="15258" xr:uid="{6728596E-F843-4D19-B2A3-D7F83097E1E1}"/>
    <cellStyle name="Normal 4 3 3 2 2 6 3" xfId="11040" xr:uid="{B147E496-FF2C-4E1D-AFBE-24BA70E16D51}"/>
    <cellStyle name="Normal 4 3 3 2 2 7" xfId="4751" xr:uid="{00000000-0005-0000-0000-000072140000}"/>
    <cellStyle name="Normal 4 3 3 2 2 7 2" xfId="13193" xr:uid="{4959DA0B-4411-49C4-B955-301929BB3C92}"/>
    <cellStyle name="Normal 4 3 3 2 2 8" xfId="8975" xr:uid="{BAC22C1C-DF91-4617-9130-425BC9B1A61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4732CE93-4FE9-491B-9028-1CE74357632C}"/>
    <cellStyle name="Normal 4 3 3 2 3 2 3" xfId="11532" xr:uid="{D28928B8-D47B-4D90-8CEE-CBC5F7285C73}"/>
    <cellStyle name="Normal 4 3 3 2 3 3" xfId="5163" xr:uid="{00000000-0005-0000-0000-000076140000}"/>
    <cellStyle name="Normal 4 3 3 2 3 3 2" xfId="13605" xr:uid="{99A7B950-97F4-49E0-94DE-33D26CC4A489}"/>
    <cellStyle name="Normal 4 3 3 2 3 4" xfId="9387" xr:uid="{EF349D37-C753-4C82-AAEC-A52F2AA06576}"/>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0012FDD1-521C-4A2C-B39E-5B8005658353}"/>
    <cellStyle name="Normal 4 3 3 2 4 2 3" xfId="11945" xr:uid="{7D6FFFAE-1C0E-4717-A43C-6DD02B724D35}"/>
    <cellStyle name="Normal 4 3 3 2 4 3" xfId="5576" xr:uid="{00000000-0005-0000-0000-00007A140000}"/>
    <cellStyle name="Normal 4 3 3 2 4 3 2" xfId="14018" xr:uid="{A770CA16-56F8-470B-806C-406EF85D9D39}"/>
    <cellStyle name="Normal 4 3 3 2 4 4" xfId="9800" xr:uid="{88B6E6A6-AF1B-455C-8283-1470C07D5808}"/>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0C4F8D91-10D5-4FB9-9A9C-D90D0A948D63}"/>
    <cellStyle name="Normal 4 3 3 2 5 2 3" xfId="12358" xr:uid="{70DD95C8-5AC6-45C9-B798-C692836A7F8B}"/>
    <cellStyle name="Normal 4 3 3 2 5 3" xfId="5989" xr:uid="{00000000-0005-0000-0000-00007E140000}"/>
    <cellStyle name="Normal 4 3 3 2 5 3 2" xfId="14431" xr:uid="{17E80AFB-CCC4-4F43-9164-BF2CB37383DC}"/>
    <cellStyle name="Normal 4 3 3 2 5 4" xfId="10213" xr:uid="{9C08DED2-8F14-4D64-86CE-E92786A5A12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1FB59A53-CF16-464B-B0BC-E7931F77223F}"/>
    <cellStyle name="Normal 4 3 3 2 6 2 3" xfId="12771" xr:uid="{7080B0A9-9FF2-482C-AC8B-CDD6D2EB8CD4}"/>
    <cellStyle name="Normal 4 3 3 2 6 3" xfId="6402" xr:uid="{00000000-0005-0000-0000-000082140000}"/>
    <cellStyle name="Normal 4 3 3 2 6 3 2" xfId="14844" xr:uid="{0871D7C4-72E7-4314-86B7-BE2B21348A32}"/>
    <cellStyle name="Normal 4 3 3 2 6 4" xfId="10626" xr:uid="{97C5F0AF-95E8-4F8A-9C91-56A1981E3E02}"/>
    <cellStyle name="Normal 4 3 3 2 7" xfId="2531" xr:uid="{00000000-0005-0000-0000-000083140000}"/>
    <cellStyle name="Normal 4 3 3 2 7 2" xfId="6815" xr:uid="{00000000-0005-0000-0000-000084140000}"/>
    <cellStyle name="Normal 4 3 3 2 7 2 2" xfId="15257" xr:uid="{75D23E79-2481-40B7-8424-23C8CC19C9C7}"/>
    <cellStyle name="Normal 4 3 3 2 7 3" xfId="11039" xr:uid="{3DB6868D-98C9-4045-AFEC-F07858F2BE96}"/>
    <cellStyle name="Normal 4 3 3 2 8" xfId="4750" xr:uid="{00000000-0005-0000-0000-000085140000}"/>
    <cellStyle name="Normal 4 3 3 2 8 2" xfId="13192" xr:uid="{7785C354-302A-4EB8-8E15-754A59BCE8D7}"/>
    <cellStyle name="Normal 4 3 3 2 9" xfId="8974" xr:uid="{D547857C-4EB3-47FE-9B36-F39837896AC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6B500013-22C8-47F2-86FF-6DF02C5E67B4}"/>
    <cellStyle name="Normal 4 3 3 3 2 2 3" xfId="11534" xr:uid="{79E417B8-FFA6-4FB0-8A8C-0A0F129F4625}"/>
    <cellStyle name="Normal 4 3 3 3 2 3" xfId="5165" xr:uid="{00000000-0005-0000-0000-00008A140000}"/>
    <cellStyle name="Normal 4 3 3 3 2 3 2" xfId="13607" xr:uid="{7DA4BA2B-103E-43EF-868C-BCCE051AACDD}"/>
    <cellStyle name="Normal 4 3 3 3 2 4" xfId="9389" xr:uid="{3DF112E4-3C87-4236-B35D-E51A14FEA927}"/>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7F253DAC-99CE-446B-9911-D9B5B5F1B9D1}"/>
    <cellStyle name="Normal 4 3 3 3 3 2 3" xfId="11947" xr:uid="{896F8035-FFA1-4DF8-A674-B3DF4BBA4808}"/>
    <cellStyle name="Normal 4 3 3 3 3 3" xfId="5578" xr:uid="{00000000-0005-0000-0000-00008E140000}"/>
    <cellStyle name="Normal 4 3 3 3 3 3 2" xfId="14020" xr:uid="{E7AD4F70-125A-4B44-9888-392EAFDC6FEF}"/>
    <cellStyle name="Normal 4 3 3 3 3 4" xfId="9802" xr:uid="{168307FC-8BD5-4790-A324-FF1C7AFBCB55}"/>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E0C494BF-CF84-4CAE-A73F-912257241017}"/>
    <cellStyle name="Normal 4 3 3 3 4 2 3" xfId="12360" xr:uid="{5D3C2BFC-3C85-4B00-BA53-56686A3698C8}"/>
    <cellStyle name="Normal 4 3 3 3 4 3" xfId="5991" xr:uid="{00000000-0005-0000-0000-000092140000}"/>
    <cellStyle name="Normal 4 3 3 3 4 3 2" xfId="14433" xr:uid="{E5375B1F-7941-447B-A4B2-7127B00C492E}"/>
    <cellStyle name="Normal 4 3 3 3 4 4" xfId="10215" xr:uid="{E01F6558-CACF-4A81-AF73-38E22DAB1E49}"/>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399BC0C4-3D52-4922-BD27-3C99C69936C3}"/>
    <cellStyle name="Normal 4 3 3 3 5 2 3" xfId="12773" xr:uid="{C39AF02F-5752-454F-8EEA-7DD1D12FF675}"/>
    <cellStyle name="Normal 4 3 3 3 5 3" xfId="6404" xr:uid="{00000000-0005-0000-0000-000096140000}"/>
    <cellStyle name="Normal 4 3 3 3 5 3 2" xfId="14846" xr:uid="{D8353C56-65E9-4A9E-B8EE-6B67F6B76018}"/>
    <cellStyle name="Normal 4 3 3 3 5 4" xfId="10628" xr:uid="{A00905FC-8ED5-485F-9747-527136DE49AF}"/>
    <cellStyle name="Normal 4 3 3 3 6" xfId="2533" xr:uid="{00000000-0005-0000-0000-000097140000}"/>
    <cellStyle name="Normal 4 3 3 3 6 2" xfId="6817" xr:uid="{00000000-0005-0000-0000-000098140000}"/>
    <cellStyle name="Normal 4 3 3 3 6 2 2" xfId="15259" xr:uid="{9107FD7B-AE9D-4F0E-8BBD-C8DEBE3EB216}"/>
    <cellStyle name="Normal 4 3 3 3 6 3" xfId="11041" xr:uid="{FC016263-F1B0-4CCA-A41D-8785CE47F685}"/>
    <cellStyle name="Normal 4 3 3 3 7" xfId="4752" xr:uid="{00000000-0005-0000-0000-000099140000}"/>
    <cellStyle name="Normal 4 3 3 3 7 2" xfId="13194" xr:uid="{3EE0ACEB-E338-4666-9701-B988C212F1BB}"/>
    <cellStyle name="Normal 4 3 3 3 8" xfId="8976" xr:uid="{2C24A5AA-03BE-4515-9E0E-E324371918F6}"/>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D18F460A-F292-4667-B328-87540DB86AA0}"/>
    <cellStyle name="Normal 4 3 3 4 2 3" xfId="11531" xr:uid="{D1008054-7ED8-443D-A813-038D7132A804}"/>
    <cellStyle name="Normal 4 3 3 4 3" xfId="5162" xr:uid="{00000000-0005-0000-0000-00009D140000}"/>
    <cellStyle name="Normal 4 3 3 4 3 2" xfId="13604" xr:uid="{4F7F4767-AD40-4C97-86FC-CAEF9AAD4FB7}"/>
    <cellStyle name="Normal 4 3 3 4 4" xfId="9386" xr:uid="{03583AC5-C91C-4DE8-BC10-E30D4DC4E951}"/>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8943634D-72E9-42BC-8D6E-D88B7474F957}"/>
    <cellStyle name="Normal 4 3 3 5 2 3" xfId="11944" xr:uid="{F3C54AD9-F225-40F4-B99A-5BE99140335D}"/>
    <cellStyle name="Normal 4 3 3 5 3" xfId="5575" xr:uid="{00000000-0005-0000-0000-0000A1140000}"/>
    <cellStyle name="Normal 4 3 3 5 3 2" xfId="14017" xr:uid="{E30ECA98-E639-47BA-A165-D406CAB96694}"/>
    <cellStyle name="Normal 4 3 3 5 4" xfId="9799" xr:uid="{E5B9E5E3-27F1-4B76-9863-E832AFD4597F}"/>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61E621F8-94E5-42C9-BB76-D86D1026BE15}"/>
    <cellStyle name="Normal 4 3 3 6 2 3" xfId="12357" xr:uid="{BEFACE53-AA03-4EFC-A741-BC445B2572A5}"/>
    <cellStyle name="Normal 4 3 3 6 3" xfId="5988" xr:uid="{00000000-0005-0000-0000-0000A5140000}"/>
    <cellStyle name="Normal 4 3 3 6 3 2" xfId="14430" xr:uid="{8D84D193-29E6-4A0F-B9B4-8F9123314BCE}"/>
    <cellStyle name="Normal 4 3 3 6 4" xfId="10212" xr:uid="{6047E788-60A9-4EE1-8C31-84F82F417A59}"/>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BA12FD99-8CC1-4379-A71B-C21D1D038C02}"/>
    <cellStyle name="Normal 4 3 3 7 2 3" xfId="12770" xr:uid="{A305287F-D0DF-4064-A726-0B7687AC07D4}"/>
    <cellStyle name="Normal 4 3 3 7 3" xfId="6401" xr:uid="{00000000-0005-0000-0000-0000A9140000}"/>
    <cellStyle name="Normal 4 3 3 7 3 2" xfId="14843" xr:uid="{DDDDE44A-6E67-42F0-8AAF-4345D6784F7A}"/>
    <cellStyle name="Normal 4 3 3 7 4" xfId="10625" xr:uid="{B58206D1-7EA3-47AD-ADD0-B26982D1C434}"/>
    <cellStyle name="Normal 4 3 3 8" xfId="2530" xr:uid="{00000000-0005-0000-0000-0000AA140000}"/>
    <cellStyle name="Normal 4 3 3 8 2" xfId="6814" xr:uid="{00000000-0005-0000-0000-0000AB140000}"/>
    <cellStyle name="Normal 4 3 3 8 2 2" xfId="15256" xr:uid="{E6C4ADCF-BAE0-486E-B736-60963951BE58}"/>
    <cellStyle name="Normal 4 3 3 8 3" xfId="11038" xr:uid="{449FC1E4-3456-4127-AA00-3D2F17940A99}"/>
    <cellStyle name="Normal 4 3 3 9" xfId="4749" xr:uid="{00000000-0005-0000-0000-0000AC140000}"/>
    <cellStyle name="Normal 4 3 3 9 2" xfId="13191" xr:uid="{B1391EF0-A840-42E4-B111-9BE54148CFD0}"/>
    <cellStyle name="Normal 4 3 4" xfId="842" xr:uid="{00000000-0005-0000-0000-0000AD140000}"/>
    <cellStyle name="Normal 4 3 4 2" xfId="3079" xr:uid="{00000000-0005-0000-0000-0000AE140000}"/>
    <cellStyle name="Normal 4 3 4 2 2" xfId="7302" xr:uid="{00000000-0005-0000-0000-0000AF140000}"/>
    <cellStyle name="Normal 4 3 4 2 2 2" xfId="15744" xr:uid="{FBE20013-1FC8-4408-9637-3B7AD4A51255}"/>
    <cellStyle name="Normal 4 3 4 2 3" xfId="11526" xr:uid="{CB9C2952-C040-401C-BCC4-85275F9A4058}"/>
    <cellStyle name="Normal 4 3 4 3" xfId="5157" xr:uid="{00000000-0005-0000-0000-0000B0140000}"/>
    <cellStyle name="Normal 4 3 4 3 2" xfId="13599" xr:uid="{D8CFD4CB-E1C2-4FD2-ACB8-9890598F495B}"/>
    <cellStyle name="Normal 4 3 4 4" xfId="9381" xr:uid="{B88BBA93-47FC-478F-8CD6-88335CCDB114}"/>
    <cellStyle name="Normal 4 3 5" xfId="1262" xr:uid="{00000000-0005-0000-0000-0000B1140000}"/>
    <cellStyle name="Normal 4 3 5 2" xfId="3492" xr:uid="{00000000-0005-0000-0000-0000B2140000}"/>
    <cellStyle name="Normal 4 3 5 2 2" xfId="7715" xr:uid="{00000000-0005-0000-0000-0000B3140000}"/>
    <cellStyle name="Normal 4 3 5 2 2 2" xfId="16157" xr:uid="{0397CCF8-A6C8-438A-A587-4DE3972B8188}"/>
    <cellStyle name="Normal 4 3 5 2 3" xfId="11939" xr:uid="{9F0E726D-B420-46F7-B6BE-96FDD4632EA4}"/>
    <cellStyle name="Normal 4 3 5 3" xfId="5570" xr:uid="{00000000-0005-0000-0000-0000B4140000}"/>
    <cellStyle name="Normal 4 3 5 3 2" xfId="14012" xr:uid="{CECDBD3E-D396-48C7-9409-F2236B0A4ACF}"/>
    <cellStyle name="Normal 4 3 5 4" xfId="9794" xr:uid="{C08CDB27-0CF0-40B4-84C6-EAE2708C8646}"/>
    <cellStyle name="Normal 4 3 6" xfId="1675" xr:uid="{00000000-0005-0000-0000-0000B5140000}"/>
    <cellStyle name="Normal 4 3 6 2" xfId="3905" xr:uid="{00000000-0005-0000-0000-0000B6140000}"/>
    <cellStyle name="Normal 4 3 6 2 2" xfId="8128" xr:uid="{00000000-0005-0000-0000-0000B7140000}"/>
    <cellStyle name="Normal 4 3 6 2 2 2" xfId="16570" xr:uid="{2F5D1341-3B93-4CA4-A7AC-8E1903C2614E}"/>
    <cellStyle name="Normal 4 3 6 2 3" xfId="12352" xr:uid="{73CAC659-1280-4C4D-8E32-BA02908D3D0D}"/>
    <cellStyle name="Normal 4 3 6 3" xfId="5983" xr:uid="{00000000-0005-0000-0000-0000B8140000}"/>
    <cellStyle name="Normal 4 3 6 3 2" xfId="14425" xr:uid="{2AED5C10-4439-46F8-8E56-E47813C6E6DF}"/>
    <cellStyle name="Normal 4 3 6 4" xfId="10207" xr:uid="{66BB45A4-B06D-49D9-8F5E-E5DA96588BEF}"/>
    <cellStyle name="Normal 4 3 7" xfId="2089" xr:uid="{00000000-0005-0000-0000-0000B9140000}"/>
    <cellStyle name="Normal 4 3 7 2" xfId="4318" xr:uid="{00000000-0005-0000-0000-0000BA140000}"/>
    <cellStyle name="Normal 4 3 7 2 2" xfId="8541" xr:uid="{00000000-0005-0000-0000-0000BB140000}"/>
    <cellStyle name="Normal 4 3 7 2 2 2" xfId="16983" xr:uid="{C616F5C3-0D7F-4295-AF0A-32BE29264EE5}"/>
    <cellStyle name="Normal 4 3 7 2 3" xfId="12765" xr:uid="{DC894191-8B70-42E2-87CC-6049C011F605}"/>
    <cellStyle name="Normal 4 3 7 3" xfId="6396" xr:uid="{00000000-0005-0000-0000-0000BC140000}"/>
    <cellStyle name="Normal 4 3 7 3 2" xfId="14838" xr:uid="{B165C0DB-A80E-4AE4-ABF8-817754DE81E4}"/>
    <cellStyle name="Normal 4 3 7 4" xfId="10620" xr:uid="{C7EF4DBC-FB05-4879-A06B-64156AB9848B}"/>
    <cellStyle name="Normal 4 3 8" xfId="2525" xr:uid="{00000000-0005-0000-0000-0000BD140000}"/>
    <cellStyle name="Normal 4 3 8 2" xfId="6809" xr:uid="{00000000-0005-0000-0000-0000BE140000}"/>
    <cellStyle name="Normal 4 3 8 2 2" xfId="15251" xr:uid="{88644F52-7769-48AE-8296-5AED5B5DB167}"/>
    <cellStyle name="Normal 4 3 8 3" xfId="11033" xr:uid="{26ED9EC6-9CA9-4E9A-B882-B37898870975}"/>
    <cellStyle name="Normal 4 3 9" xfId="4744" xr:uid="{00000000-0005-0000-0000-0000BF140000}"/>
    <cellStyle name="Normal 4 3 9 2" xfId="13186" xr:uid="{091BE25C-419A-4CAA-BA0F-7580F0B786DA}"/>
    <cellStyle name="Normal 4 4" xfId="378" xr:uid="{00000000-0005-0000-0000-0000C0140000}"/>
    <cellStyle name="Normal 4 4 10" xfId="2534" xr:uid="{00000000-0005-0000-0000-0000C1140000}"/>
    <cellStyle name="Normal 4 4 10 2" xfId="6818" xr:uid="{00000000-0005-0000-0000-0000C2140000}"/>
    <cellStyle name="Normal 4 4 10 2 2" xfId="15260" xr:uid="{0DEED079-1F81-4DEA-B649-2DBEF702226F}"/>
    <cellStyle name="Normal 4 4 10 3" xfId="11042" xr:uid="{869254B6-1A63-4293-AF18-7B2E44069D90}"/>
    <cellStyle name="Normal 4 4 11" xfId="4753" xr:uid="{00000000-0005-0000-0000-0000C3140000}"/>
    <cellStyle name="Normal 4 4 11 2" xfId="13195" xr:uid="{4D11ADC5-BB8C-4B19-B350-2F3D99751771}"/>
    <cellStyle name="Normal 4 4 12" xfId="8977" xr:uid="{4A4F1A40-068E-4BAF-AFF0-6FE4E09A1800}"/>
    <cellStyle name="Normal 4 4 2" xfId="379" xr:uid="{00000000-0005-0000-0000-0000C4140000}"/>
    <cellStyle name="Normal 4 4 2 10" xfId="4754" xr:uid="{00000000-0005-0000-0000-0000C5140000}"/>
    <cellStyle name="Normal 4 4 2 10 2" xfId="13196" xr:uid="{EED05697-E868-40DA-979C-E4F4E9BA3837}"/>
    <cellStyle name="Normal 4 4 2 11" xfId="8978" xr:uid="{19E226BA-6C40-4998-BDDA-FF204B563C1D}"/>
    <cellStyle name="Normal 4 4 2 2" xfId="380" xr:uid="{00000000-0005-0000-0000-0000C6140000}"/>
    <cellStyle name="Normal 4 4 2 2 10" xfId="8979" xr:uid="{475C9861-9470-49AF-9F5D-CB8A86A0A83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71B577ED-8470-4BCD-BDC7-84FFBAB95DD2}"/>
    <cellStyle name="Normal 4 4 2 2 2 2 2 2 3" xfId="11539" xr:uid="{BCCE0FF6-38EB-4913-BFB9-765194A27892}"/>
    <cellStyle name="Normal 4 4 2 2 2 2 2 3" xfId="5170" xr:uid="{00000000-0005-0000-0000-0000CC140000}"/>
    <cellStyle name="Normal 4 4 2 2 2 2 2 3 2" xfId="13612" xr:uid="{90BF2D72-3974-455C-8BF5-1169CE012139}"/>
    <cellStyle name="Normal 4 4 2 2 2 2 2 4" xfId="9394" xr:uid="{FF1A0531-D539-47F2-8B45-04F567D090F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B1BF45F1-A644-44C4-A910-44C41C2C0583}"/>
    <cellStyle name="Normal 4 4 2 2 2 2 3 2 3" xfId="11952" xr:uid="{272FCC27-7294-4568-98B3-645CB327B092}"/>
    <cellStyle name="Normal 4 4 2 2 2 2 3 3" xfId="5583" xr:uid="{00000000-0005-0000-0000-0000D0140000}"/>
    <cellStyle name="Normal 4 4 2 2 2 2 3 3 2" xfId="14025" xr:uid="{6EB9DF36-6154-46A2-B061-D654F24B113C}"/>
    <cellStyle name="Normal 4 4 2 2 2 2 3 4" xfId="9807" xr:uid="{5BCB3664-4206-41B2-89B0-D2DA3B74F2BE}"/>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999144F7-89FC-44AD-B1E3-4E8966A4D5F4}"/>
    <cellStyle name="Normal 4 4 2 2 2 2 4 2 3" xfId="12365" xr:uid="{9E1675F8-3DB0-41FF-9AE8-7CA2B5F2333E}"/>
    <cellStyle name="Normal 4 4 2 2 2 2 4 3" xfId="5996" xr:uid="{00000000-0005-0000-0000-0000D4140000}"/>
    <cellStyle name="Normal 4 4 2 2 2 2 4 3 2" xfId="14438" xr:uid="{57832E26-DB48-445D-8232-84CA59877C15}"/>
    <cellStyle name="Normal 4 4 2 2 2 2 4 4" xfId="10220" xr:uid="{ACA77E96-540D-41A3-B59A-B96439FF9641}"/>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4941C6E6-0C43-4EC8-B849-0046567AE0F5}"/>
    <cellStyle name="Normal 4 4 2 2 2 2 5 2 3" xfId="12778" xr:uid="{7EF0EB3C-3E39-4CF3-B93D-A596BCA1B6C2}"/>
    <cellStyle name="Normal 4 4 2 2 2 2 5 3" xfId="6409" xr:uid="{00000000-0005-0000-0000-0000D8140000}"/>
    <cellStyle name="Normal 4 4 2 2 2 2 5 3 2" xfId="14851" xr:uid="{9CA65715-49A0-4B26-819B-7F108AA0DE57}"/>
    <cellStyle name="Normal 4 4 2 2 2 2 5 4" xfId="10633" xr:uid="{FC5B9520-9AA9-4146-B9A8-7B3270FEE43B}"/>
    <cellStyle name="Normal 4 4 2 2 2 2 6" xfId="2538" xr:uid="{00000000-0005-0000-0000-0000D9140000}"/>
    <cellStyle name="Normal 4 4 2 2 2 2 6 2" xfId="6822" xr:uid="{00000000-0005-0000-0000-0000DA140000}"/>
    <cellStyle name="Normal 4 4 2 2 2 2 6 2 2" xfId="15264" xr:uid="{AADFAB4F-61D6-4BAB-999A-8D9A8E851696}"/>
    <cellStyle name="Normal 4 4 2 2 2 2 6 3" xfId="11046" xr:uid="{3D051609-5577-4BA3-BBBF-70BBA3EC3FD6}"/>
    <cellStyle name="Normal 4 4 2 2 2 2 7" xfId="4757" xr:uid="{00000000-0005-0000-0000-0000DB140000}"/>
    <cellStyle name="Normal 4 4 2 2 2 2 7 2" xfId="13199" xr:uid="{583CE94B-72BA-4B76-B5AE-F2C3CA6FD331}"/>
    <cellStyle name="Normal 4 4 2 2 2 2 8" xfId="8981" xr:uid="{427C90D8-5C1D-40CE-941C-8E1C7507C03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80AAFB2A-B987-4975-9CDC-6E4E812A63AF}"/>
    <cellStyle name="Normal 4 4 2 2 2 3 2 3" xfId="11538" xr:uid="{66C509E8-186E-477B-9044-8DAEEF9C4A1F}"/>
    <cellStyle name="Normal 4 4 2 2 2 3 3" xfId="5169" xr:uid="{00000000-0005-0000-0000-0000DF140000}"/>
    <cellStyle name="Normal 4 4 2 2 2 3 3 2" xfId="13611" xr:uid="{AE6CBC22-509A-4173-AA95-48391AC5E51E}"/>
    <cellStyle name="Normal 4 4 2 2 2 3 4" xfId="9393" xr:uid="{0B5CBB0B-DFCE-475A-AAC1-B85677AC2EB5}"/>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04B17DE-A635-478E-820D-2C083576F740}"/>
    <cellStyle name="Normal 4 4 2 2 2 4 2 3" xfId="11951" xr:uid="{1A157C70-0C51-4966-8277-1BEE7F00B2D4}"/>
    <cellStyle name="Normal 4 4 2 2 2 4 3" xfId="5582" xr:uid="{00000000-0005-0000-0000-0000E3140000}"/>
    <cellStyle name="Normal 4 4 2 2 2 4 3 2" xfId="14024" xr:uid="{C5941EFB-AA59-4A34-B35D-5E9FA33159FD}"/>
    <cellStyle name="Normal 4 4 2 2 2 4 4" xfId="9806" xr:uid="{DF98D80D-938B-4513-A26E-37BBF5FD6BB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C3420B36-DA77-4ACD-9E1E-3296735502F4}"/>
    <cellStyle name="Normal 4 4 2 2 2 5 2 3" xfId="12364" xr:uid="{101346B6-6DA2-48F0-B4EA-451F899527DF}"/>
    <cellStyle name="Normal 4 4 2 2 2 5 3" xfId="5995" xr:uid="{00000000-0005-0000-0000-0000E7140000}"/>
    <cellStyle name="Normal 4 4 2 2 2 5 3 2" xfId="14437" xr:uid="{F2692595-7727-4329-A1A6-0444515ED546}"/>
    <cellStyle name="Normal 4 4 2 2 2 5 4" xfId="10219" xr:uid="{73518270-FD36-4A9A-BBF7-BD248E4BB923}"/>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D04D4105-BC46-48A1-B691-4FA4CB75A5F2}"/>
    <cellStyle name="Normal 4 4 2 2 2 6 2 3" xfId="12777" xr:uid="{F7A65ED8-755E-400A-AAC5-DF3C614B7ADC}"/>
    <cellStyle name="Normal 4 4 2 2 2 6 3" xfId="6408" xr:uid="{00000000-0005-0000-0000-0000EB140000}"/>
    <cellStyle name="Normal 4 4 2 2 2 6 3 2" xfId="14850" xr:uid="{51DCC3CF-346C-4159-BFAA-A065B49BD325}"/>
    <cellStyle name="Normal 4 4 2 2 2 6 4" xfId="10632" xr:uid="{424CDAB2-CA5C-43E8-9D2F-4602E33D35B0}"/>
    <cellStyle name="Normal 4 4 2 2 2 7" xfId="2537" xr:uid="{00000000-0005-0000-0000-0000EC140000}"/>
    <cellStyle name="Normal 4 4 2 2 2 7 2" xfId="6821" xr:uid="{00000000-0005-0000-0000-0000ED140000}"/>
    <cellStyle name="Normal 4 4 2 2 2 7 2 2" xfId="15263" xr:uid="{AF7F92B3-5757-44B3-A296-21BF7CEAD00F}"/>
    <cellStyle name="Normal 4 4 2 2 2 7 3" xfId="11045" xr:uid="{5FFF3F79-ADD5-4B02-9594-ED763394A71F}"/>
    <cellStyle name="Normal 4 4 2 2 2 8" xfId="4756" xr:uid="{00000000-0005-0000-0000-0000EE140000}"/>
    <cellStyle name="Normal 4 4 2 2 2 8 2" xfId="13198" xr:uid="{5A0B722F-C5AA-4286-99F4-C4C03420E59C}"/>
    <cellStyle name="Normal 4 4 2 2 2 9" xfId="8980" xr:uid="{F8332608-622D-4ED2-B0C3-7E8A695B097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4CA781F0-598E-443F-ACCC-A55DCF18CCF7}"/>
    <cellStyle name="Normal 4 4 2 2 3 2 2 3" xfId="11540" xr:uid="{376DA8B5-1872-4D85-8BBD-ECD36309BFAC}"/>
    <cellStyle name="Normal 4 4 2 2 3 2 3" xfId="5171" xr:uid="{00000000-0005-0000-0000-0000F3140000}"/>
    <cellStyle name="Normal 4 4 2 2 3 2 3 2" xfId="13613" xr:uid="{9A160FF4-FA62-4070-AA91-E6C30B5ED8EF}"/>
    <cellStyle name="Normal 4 4 2 2 3 2 4" xfId="9395" xr:uid="{EE9D7E30-17F4-420F-BC5C-6FA189C0A48F}"/>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0EE305C4-D020-450F-9D4E-90F5E3A0FD16}"/>
    <cellStyle name="Normal 4 4 2 2 3 3 2 3" xfId="11953" xr:uid="{E3E2777D-C396-4B0D-B42A-C43D54FCE8AC}"/>
    <cellStyle name="Normal 4 4 2 2 3 3 3" xfId="5584" xr:uid="{00000000-0005-0000-0000-0000F7140000}"/>
    <cellStyle name="Normal 4 4 2 2 3 3 3 2" xfId="14026" xr:uid="{1FB472DF-7822-43B7-8F27-09F8D3962E33}"/>
    <cellStyle name="Normal 4 4 2 2 3 3 4" xfId="9808" xr:uid="{F1A98DA6-B54B-413E-B819-0C2151B5B4A7}"/>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553A8545-6AE7-40AD-ABF5-1E693176ABD4}"/>
    <cellStyle name="Normal 4 4 2 2 3 4 2 3" xfId="12366" xr:uid="{BE9002FD-9666-430B-9350-E984E09F4868}"/>
    <cellStyle name="Normal 4 4 2 2 3 4 3" xfId="5997" xr:uid="{00000000-0005-0000-0000-0000FB140000}"/>
    <cellStyle name="Normal 4 4 2 2 3 4 3 2" xfId="14439" xr:uid="{D1914CFF-7A14-45C2-884C-0FEA1EBA00F6}"/>
    <cellStyle name="Normal 4 4 2 2 3 4 4" xfId="10221" xr:uid="{78B528EA-1C94-467A-9714-13E6E31C9A4E}"/>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34CB54BB-2A8B-4C7F-9629-AD510D68C5F5}"/>
    <cellStyle name="Normal 4 4 2 2 3 5 2 3" xfId="12779" xr:uid="{92BF793C-9DEF-43F7-BF17-33B8F1A4D812}"/>
    <cellStyle name="Normal 4 4 2 2 3 5 3" xfId="6410" xr:uid="{00000000-0005-0000-0000-0000FF140000}"/>
    <cellStyle name="Normal 4 4 2 2 3 5 3 2" xfId="14852" xr:uid="{63FC1CFA-4376-4F7F-9095-656B16CB0FDC}"/>
    <cellStyle name="Normal 4 4 2 2 3 5 4" xfId="10634" xr:uid="{3D918765-AA95-4F93-BD15-5372E2B51E09}"/>
    <cellStyle name="Normal 4 4 2 2 3 6" xfId="2539" xr:uid="{00000000-0005-0000-0000-000000150000}"/>
    <cellStyle name="Normal 4 4 2 2 3 6 2" xfId="6823" xr:uid="{00000000-0005-0000-0000-000001150000}"/>
    <cellStyle name="Normal 4 4 2 2 3 6 2 2" xfId="15265" xr:uid="{721A84E0-E238-4D28-95A4-032624055E60}"/>
    <cellStyle name="Normal 4 4 2 2 3 6 3" xfId="11047" xr:uid="{ABC0BDCA-8E50-40E9-8516-CE815E2DA973}"/>
    <cellStyle name="Normal 4 4 2 2 3 7" xfId="4758" xr:uid="{00000000-0005-0000-0000-000002150000}"/>
    <cellStyle name="Normal 4 4 2 2 3 7 2" xfId="13200" xr:uid="{B9D3A04E-B164-4064-80FD-86B747C90CCA}"/>
    <cellStyle name="Normal 4 4 2 2 3 8" xfId="8982" xr:uid="{7B53FB7A-A67D-4B9C-A9C2-82B364BB5AEC}"/>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7EF95D41-E947-465F-931F-45A548C33186}"/>
    <cellStyle name="Normal 4 4 2 2 4 2 3" xfId="11537" xr:uid="{62BA723A-6F8F-4E68-B97A-A99A2C6C9022}"/>
    <cellStyle name="Normal 4 4 2 2 4 3" xfId="5168" xr:uid="{00000000-0005-0000-0000-000006150000}"/>
    <cellStyle name="Normal 4 4 2 2 4 3 2" xfId="13610" xr:uid="{BF7970B6-3F61-45C5-97C4-13CF89BE5A0E}"/>
    <cellStyle name="Normal 4 4 2 2 4 4" xfId="9392" xr:uid="{459797A6-9895-4E43-A291-4F5112579525}"/>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86ABEFBA-BFE8-44C4-8FDB-3E4DE6DD3C49}"/>
    <cellStyle name="Normal 4 4 2 2 5 2 3" xfId="11950" xr:uid="{773B11F4-5C0E-46A8-9A5F-FE9CB9E70567}"/>
    <cellStyle name="Normal 4 4 2 2 5 3" xfId="5581" xr:uid="{00000000-0005-0000-0000-00000A150000}"/>
    <cellStyle name="Normal 4 4 2 2 5 3 2" xfId="14023" xr:uid="{C08251EE-87FC-493F-AF80-2CDEB589727D}"/>
    <cellStyle name="Normal 4 4 2 2 5 4" xfId="9805" xr:uid="{05883A0C-6BE9-4F32-B083-1F3BE2712EC5}"/>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B386BB4C-D160-4DDF-859E-CC8A64007064}"/>
    <cellStyle name="Normal 4 4 2 2 6 2 3" xfId="12363" xr:uid="{14F7068E-3436-41F1-A5EC-BD9A85DDD86D}"/>
    <cellStyle name="Normal 4 4 2 2 6 3" xfId="5994" xr:uid="{00000000-0005-0000-0000-00000E150000}"/>
    <cellStyle name="Normal 4 4 2 2 6 3 2" xfId="14436" xr:uid="{4B62B8BF-0CDC-4BB2-AD42-C839A2B664B7}"/>
    <cellStyle name="Normal 4 4 2 2 6 4" xfId="10218" xr:uid="{31437948-CE57-4BCB-90B1-C18B43935B2C}"/>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237B9FCC-74F8-4D7B-A8EE-65AAF593DCA5}"/>
    <cellStyle name="Normal 4 4 2 2 7 2 3" xfId="12776" xr:uid="{A6DECD33-0BBC-452F-89D5-09E6F0D38BFF}"/>
    <cellStyle name="Normal 4 4 2 2 7 3" xfId="6407" xr:uid="{00000000-0005-0000-0000-000012150000}"/>
    <cellStyle name="Normal 4 4 2 2 7 3 2" xfId="14849" xr:uid="{74FE241B-6910-4F06-ADD7-B8DF018B6617}"/>
    <cellStyle name="Normal 4 4 2 2 7 4" xfId="10631" xr:uid="{7686466C-FDA9-4206-AB75-10141B2576C9}"/>
    <cellStyle name="Normal 4 4 2 2 8" xfId="2536" xr:uid="{00000000-0005-0000-0000-000013150000}"/>
    <cellStyle name="Normal 4 4 2 2 8 2" xfId="6820" xr:uid="{00000000-0005-0000-0000-000014150000}"/>
    <cellStyle name="Normal 4 4 2 2 8 2 2" xfId="15262" xr:uid="{F87B7F16-3953-42C8-A0B4-A85040ED504E}"/>
    <cellStyle name="Normal 4 4 2 2 8 3" xfId="11044" xr:uid="{F62B3D0D-CA57-4847-9F2D-672EAAD6F742}"/>
    <cellStyle name="Normal 4 4 2 2 9" xfId="4755" xr:uid="{00000000-0005-0000-0000-000015150000}"/>
    <cellStyle name="Normal 4 4 2 2 9 2" xfId="13197" xr:uid="{E8526AD0-D3BC-488F-823D-B537FC18F8C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9D2EB585-4AA3-4F31-A7A4-D33188ED94F7}"/>
    <cellStyle name="Normal 4 4 2 3 2 2 2 3" xfId="11542" xr:uid="{545F3149-2C03-47CE-AC08-B4314A582646}"/>
    <cellStyle name="Normal 4 4 2 3 2 2 3" xfId="5173" xr:uid="{00000000-0005-0000-0000-00001B150000}"/>
    <cellStyle name="Normal 4 4 2 3 2 2 3 2" xfId="13615" xr:uid="{D00DE6AF-DC56-4B9F-BFB7-E39D7F2DB643}"/>
    <cellStyle name="Normal 4 4 2 3 2 2 4" xfId="9397" xr:uid="{033154D4-D1C3-4765-A8CB-3F8523256CDF}"/>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F8611466-A4D1-497B-8505-7BE3E16B643F}"/>
    <cellStyle name="Normal 4 4 2 3 2 3 2 3" xfId="11955" xr:uid="{54E4FB7E-196E-46DB-8EC7-55852CC3E012}"/>
    <cellStyle name="Normal 4 4 2 3 2 3 3" xfId="5586" xr:uid="{00000000-0005-0000-0000-00001F150000}"/>
    <cellStyle name="Normal 4 4 2 3 2 3 3 2" xfId="14028" xr:uid="{A9943801-CD2A-4823-B858-8CA39ED485F7}"/>
    <cellStyle name="Normal 4 4 2 3 2 3 4" xfId="9810" xr:uid="{054DA186-B76A-4A47-B43A-EA54F8B59B0B}"/>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73D72C29-E63B-4647-81F6-37261C3BD1B7}"/>
    <cellStyle name="Normal 4 4 2 3 2 4 2 3" xfId="12368" xr:uid="{1A2C9172-B393-49B9-B1CE-EC66A9BF13F6}"/>
    <cellStyle name="Normal 4 4 2 3 2 4 3" xfId="5999" xr:uid="{00000000-0005-0000-0000-000023150000}"/>
    <cellStyle name="Normal 4 4 2 3 2 4 3 2" xfId="14441" xr:uid="{6B31D059-B2AF-41E3-BE9C-EA308B8366ED}"/>
    <cellStyle name="Normal 4 4 2 3 2 4 4" xfId="10223" xr:uid="{435F170A-2BA5-482E-97D3-EF828021F266}"/>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9C1961C3-073B-4830-9F76-53A61B887CC5}"/>
    <cellStyle name="Normal 4 4 2 3 2 5 2 3" xfId="12781" xr:uid="{F76E86FF-9FC5-4308-A9D8-30F3BD6BA383}"/>
    <cellStyle name="Normal 4 4 2 3 2 5 3" xfId="6412" xr:uid="{00000000-0005-0000-0000-000027150000}"/>
    <cellStyle name="Normal 4 4 2 3 2 5 3 2" xfId="14854" xr:uid="{C1CEFF66-2815-4168-A3F6-35FA7A4696C4}"/>
    <cellStyle name="Normal 4 4 2 3 2 5 4" xfId="10636" xr:uid="{10762E0F-2D8C-4D0E-8C3E-52376FF4A8AF}"/>
    <cellStyle name="Normal 4 4 2 3 2 6" xfId="2541" xr:uid="{00000000-0005-0000-0000-000028150000}"/>
    <cellStyle name="Normal 4 4 2 3 2 6 2" xfId="6825" xr:uid="{00000000-0005-0000-0000-000029150000}"/>
    <cellStyle name="Normal 4 4 2 3 2 6 2 2" xfId="15267" xr:uid="{2C5494E9-9D8D-4530-A188-936406E30F29}"/>
    <cellStyle name="Normal 4 4 2 3 2 6 3" xfId="11049" xr:uid="{FE6A22C6-A090-43CD-A2B8-29ABDCF92A92}"/>
    <cellStyle name="Normal 4 4 2 3 2 7" xfId="4760" xr:uid="{00000000-0005-0000-0000-00002A150000}"/>
    <cellStyle name="Normal 4 4 2 3 2 7 2" xfId="13202" xr:uid="{171C5F3E-3117-4A36-AD6B-96FF7A72A940}"/>
    <cellStyle name="Normal 4 4 2 3 2 8" xfId="8984" xr:uid="{DF039248-941D-445A-BCEF-E51A61F4D83D}"/>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4EE25810-A3E0-46E8-9C71-98ABAF8F6FBF}"/>
    <cellStyle name="Normal 4 4 2 3 3 2 3" xfId="11541" xr:uid="{BA6ABBDB-F452-40CE-9108-19FA858E30ED}"/>
    <cellStyle name="Normal 4 4 2 3 3 3" xfId="5172" xr:uid="{00000000-0005-0000-0000-00002E150000}"/>
    <cellStyle name="Normal 4 4 2 3 3 3 2" xfId="13614" xr:uid="{BAC0326E-1515-42B6-9254-57AD6FE2D574}"/>
    <cellStyle name="Normal 4 4 2 3 3 4" xfId="9396" xr:uid="{2A22ABF1-1541-4C93-A986-40AC0BAD428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815C6100-33E6-4093-8D9D-3C1ABE4387CD}"/>
    <cellStyle name="Normal 4 4 2 3 4 2 3" xfId="11954" xr:uid="{CAA9CE50-6DF0-471D-9FCB-A84A59B2927E}"/>
    <cellStyle name="Normal 4 4 2 3 4 3" xfId="5585" xr:uid="{00000000-0005-0000-0000-000032150000}"/>
    <cellStyle name="Normal 4 4 2 3 4 3 2" xfId="14027" xr:uid="{24593411-003A-43C9-AF79-7FD99A0E7896}"/>
    <cellStyle name="Normal 4 4 2 3 4 4" xfId="9809" xr:uid="{0174CBF5-210D-4C8E-BBEF-C3161D5FAD31}"/>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993638F0-67B2-4FBD-881E-D4A2751DD23C}"/>
    <cellStyle name="Normal 4 4 2 3 5 2 3" xfId="12367" xr:uid="{48929EDC-F5B4-4CC6-B553-E7F0580515B1}"/>
    <cellStyle name="Normal 4 4 2 3 5 3" xfId="5998" xr:uid="{00000000-0005-0000-0000-000036150000}"/>
    <cellStyle name="Normal 4 4 2 3 5 3 2" xfId="14440" xr:uid="{418146A8-A30E-4CB7-9DDC-0DB2BA60775F}"/>
    <cellStyle name="Normal 4 4 2 3 5 4" xfId="10222" xr:uid="{E848EC5C-F447-42C4-8A39-53EA0F01AC61}"/>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B0C268CD-F145-4EB3-83C2-249556A70418}"/>
    <cellStyle name="Normal 4 4 2 3 6 2 3" xfId="12780" xr:uid="{A8B754EB-8FD0-455B-85A5-7A160004C855}"/>
    <cellStyle name="Normal 4 4 2 3 6 3" xfId="6411" xr:uid="{00000000-0005-0000-0000-00003A150000}"/>
    <cellStyle name="Normal 4 4 2 3 6 3 2" xfId="14853" xr:uid="{5E34986C-A9A8-4763-BC61-3C2724F6FF86}"/>
    <cellStyle name="Normal 4 4 2 3 6 4" xfId="10635" xr:uid="{D84FE249-2820-482C-A464-3AA88FC34F91}"/>
    <cellStyle name="Normal 4 4 2 3 7" xfId="2540" xr:uid="{00000000-0005-0000-0000-00003B150000}"/>
    <cellStyle name="Normal 4 4 2 3 7 2" xfId="6824" xr:uid="{00000000-0005-0000-0000-00003C150000}"/>
    <cellStyle name="Normal 4 4 2 3 7 2 2" xfId="15266" xr:uid="{C81B712C-76B7-4CE5-9864-E9544E036F7A}"/>
    <cellStyle name="Normal 4 4 2 3 7 3" xfId="11048" xr:uid="{6A635BF8-0A64-414F-9D29-C2E77FDA7CB6}"/>
    <cellStyle name="Normal 4 4 2 3 8" xfId="4759" xr:uid="{00000000-0005-0000-0000-00003D150000}"/>
    <cellStyle name="Normal 4 4 2 3 8 2" xfId="13201" xr:uid="{E3C7256A-5A0A-4545-A689-52E4F94AB242}"/>
    <cellStyle name="Normal 4 4 2 3 9" xfId="8983" xr:uid="{22D27413-12F1-4FB4-976C-6BA0839A1851}"/>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00894C20-55EA-4331-9FB7-AF7791B31B70}"/>
    <cellStyle name="Normal 4 4 2 4 2 2 3" xfId="11543" xr:uid="{7B6767B3-7553-4F6B-9966-D07A57888D52}"/>
    <cellStyle name="Normal 4 4 2 4 2 3" xfId="5174" xr:uid="{00000000-0005-0000-0000-000042150000}"/>
    <cellStyle name="Normal 4 4 2 4 2 3 2" xfId="13616" xr:uid="{35F33CE6-79B1-46B5-80CE-193B9561940E}"/>
    <cellStyle name="Normal 4 4 2 4 2 4" xfId="9398" xr:uid="{AE37F456-96FC-44CE-9D93-000D8D437091}"/>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F6EDF142-4CE5-4FA7-9011-4317C22E6498}"/>
    <cellStyle name="Normal 4 4 2 4 3 2 3" xfId="11956" xr:uid="{B731A694-1783-43A2-8D95-6EE8E5525D7F}"/>
    <cellStyle name="Normal 4 4 2 4 3 3" xfId="5587" xr:uid="{00000000-0005-0000-0000-000046150000}"/>
    <cellStyle name="Normal 4 4 2 4 3 3 2" xfId="14029" xr:uid="{743BC007-2E59-4F0A-A5D4-A2E0B3DEBF08}"/>
    <cellStyle name="Normal 4 4 2 4 3 4" xfId="9811" xr:uid="{07A2BDA0-5834-44B7-BB42-4AFADCD53849}"/>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690B5B74-B1AB-494E-AE4B-DA934A294BBD}"/>
    <cellStyle name="Normal 4 4 2 4 4 2 3" xfId="12369" xr:uid="{24DA3331-CAA3-4E5C-BADD-06DD9DDB81AF}"/>
    <cellStyle name="Normal 4 4 2 4 4 3" xfId="6000" xr:uid="{00000000-0005-0000-0000-00004A150000}"/>
    <cellStyle name="Normal 4 4 2 4 4 3 2" xfId="14442" xr:uid="{BA604AED-1A04-44BA-A99F-B9149943761C}"/>
    <cellStyle name="Normal 4 4 2 4 4 4" xfId="10224" xr:uid="{D310A4B1-3B18-45C9-A144-8DC4331D98F3}"/>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5A59F8B2-5051-4313-BAA5-B87D9102269F}"/>
    <cellStyle name="Normal 4 4 2 4 5 2 3" xfId="12782" xr:uid="{EAD9AC97-7A33-444A-BBA5-EAFCB6A6270E}"/>
    <cellStyle name="Normal 4 4 2 4 5 3" xfId="6413" xr:uid="{00000000-0005-0000-0000-00004E150000}"/>
    <cellStyle name="Normal 4 4 2 4 5 3 2" xfId="14855" xr:uid="{E08527B0-B804-43A3-A7AB-BD52B2E6C6F8}"/>
    <cellStyle name="Normal 4 4 2 4 5 4" xfId="10637" xr:uid="{19CFABCF-AA04-4B5F-A84C-75E07261E23C}"/>
    <cellStyle name="Normal 4 4 2 4 6" xfId="2542" xr:uid="{00000000-0005-0000-0000-00004F150000}"/>
    <cellStyle name="Normal 4 4 2 4 6 2" xfId="6826" xr:uid="{00000000-0005-0000-0000-000050150000}"/>
    <cellStyle name="Normal 4 4 2 4 6 2 2" xfId="15268" xr:uid="{47EC3417-B05D-4FF6-8B0F-A93BA60F49A4}"/>
    <cellStyle name="Normal 4 4 2 4 6 3" xfId="11050" xr:uid="{1878AB75-CDC2-483B-BA95-FF8EC894C755}"/>
    <cellStyle name="Normal 4 4 2 4 7" xfId="4761" xr:uid="{00000000-0005-0000-0000-000051150000}"/>
    <cellStyle name="Normal 4 4 2 4 7 2" xfId="13203" xr:uid="{B9CA2C15-FB14-4615-97C3-03F6435AE3BD}"/>
    <cellStyle name="Normal 4 4 2 4 8" xfId="8985" xr:uid="{C9A86CAF-A59E-420F-83A4-A173DF80984F}"/>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32543CD4-3138-49EB-AFE3-F3561DB1DBE4}"/>
    <cellStyle name="Normal 4 4 2 5 2 3" xfId="11536" xr:uid="{1ECCAF4B-BD7D-4607-A9B7-0974A72DD867}"/>
    <cellStyle name="Normal 4 4 2 5 3" xfId="5167" xr:uid="{00000000-0005-0000-0000-000055150000}"/>
    <cellStyle name="Normal 4 4 2 5 3 2" xfId="13609" xr:uid="{321BBB7A-5728-44D9-91F3-04BB9AEB6736}"/>
    <cellStyle name="Normal 4 4 2 5 4" xfId="9391" xr:uid="{CDA62D6D-ECB3-43C3-93F6-F0494C7692B1}"/>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BC5FA8B3-529C-41C9-9263-BB60BE1E7F07}"/>
    <cellStyle name="Normal 4 4 2 6 2 3" xfId="11949" xr:uid="{4B23A7E0-588E-4D41-A143-F4CA88DBB037}"/>
    <cellStyle name="Normal 4 4 2 6 3" xfId="5580" xr:uid="{00000000-0005-0000-0000-000059150000}"/>
    <cellStyle name="Normal 4 4 2 6 3 2" xfId="14022" xr:uid="{4D5A8E1F-EB3F-4E5D-A8E3-A1FA64FF3FCE}"/>
    <cellStyle name="Normal 4 4 2 6 4" xfId="9804" xr:uid="{32C30202-5212-4E49-B357-D4ECC802F944}"/>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401D159-37CD-4B2D-B657-49D8B88CFAC2}"/>
    <cellStyle name="Normal 4 4 2 7 2 3" xfId="12362" xr:uid="{F9073748-D994-4550-9874-C39B75686D7C}"/>
    <cellStyle name="Normal 4 4 2 7 3" xfId="5993" xr:uid="{00000000-0005-0000-0000-00005D150000}"/>
    <cellStyle name="Normal 4 4 2 7 3 2" xfId="14435" xr:uid="{C610D9DC-612D-438F-996A-F3D735065CEB}"/>
    <cellStyle name="Normal 4 4 2 7 4" xfId="10217" xr:uid="{FB1E339B-8C5C-435F-8D34-DC5FFA8EA56D}"/>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E0D78800-951C-4C86-825A-EBDD9906BE6C}"/>
    <cellStyle name="Normal 4 4 2 8 2 3" xfId="12775" xr:uid="{8A6EEEE6-A328-49CA-BCEE-25F2A8BA6B36}"/>
    <cellStyle name="Normal 4 4 2 8 3" xfId="6406" xr:uid="{00000000-0005-0000-0000-000061150000}"/>
    <cellStyle name="Normal 4 4 2 8 3 2" xfId="14848" xr:uid="{E297ACC4-091F-47CF-8D50-5D7A5A8FACD3}"/>
    <cellStyle name="Normal 4 4 2 8 4" xfId="10630" xr:uid="{85366D2F-BAEA-4EA3-9943-78027FAB225A}"/>
    <cellStyle name="Normal 4 4 2 9" xfId="2535" xr:uid="{00000000-0005-0000-0000-000062150000}"/>
    <cellStyle name="Normal 4 4 2 9 2" xfId="6819" xr:uid="{00000000-0005-0000-0000-000063150000}"/>
    <cellStyle name="Normal 4 4 2 9 2 2" xfId="15261" xr:uid="{D382A96F-1267-4EE2-BE10-F11BE3216C23}"/>
    <cellStyle name="Normal 4 4 2 9 3" xfId="11043" xr:uid="{AD7DBEF0-8EB9-469A-853B-1EC2D1BF9F1E}"/>
    <cellStyle name="Normal 4 4 3" xfId="387" xr:uid="{00000000-0005-0000-0000-000064150000}"/>
    <cellStyle name="Normal 4 4 3 10" xfId="8986" xr:uid="{DDAB8708-E2DF-453C-857F-EB28A0762B56}"/>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5E8739D0-F241-4947-AE2C-36BA600FDEB4}"/>
    <cellStyle name="Normal 4 4 3 2 2 2 2 3" xfId="11546" xr:uid="{4409AA9F-65CC-44C0-9B0D-8C567B5F0340}"/>
    <cellStyle name="Normal 4 4 3 2 2 2 3" xfId="5177" xr:uid="{00000000-0005-0000-0000-00006A150000}"/>
    <cellStyle name="Normal 4 4 3 2 2 2 3 2" xfId="13619" xr:uid="{67CAEF01-B3E0-420E-BD08-49647C1813DD}"/>
    <cellStyle name="Normal 4 4 3 2 2 2 4" xfId="9401" xr:uid="{087C4D35-140B-4E34-B613-984DEC66F9D2}"/>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39BA83C7-4B80-475B-910E-BCFD27BF3354}"/>
    <cellStyle name="Normal 4 4 3 2 2 3 2 3" xfId="11959" xr:uid="{03FDEA2F-797D-48CE-A96E-9685BE5495D4}"/>
    <cellStyle name="Normal 4 4 3 2 2 3 3" xfId="5590" xr:uid="{00000000-0005-0000-0000-00006E150000}"/>
    <cellStyle name="Normal 4 4 3 2 2 3 3 2" xfId="14032" xr:uid="{B5592D3B-5950-40FC-A3FE-1A27AFB4ACE7}"/>
    <cellStyle name="Normal 4 4 3 2 2 3 4" xfId="9814" xr:uid="{F07A6D3B-C3DC-44FD-9FF6-CF0DF4CF7166}"/>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2081817D-E314-41D9-B14D-272884E7B54B}"/>
    <cellStyle name="Normal 4 4 3 2 2 4 2 3" xfId="12372" xr:uid="{A1356D12-4CB1-4F2C-96D2-546489AEC319}"/>
    <cellStyle name="Normal 4 4 3 2 2 4 3" xfId="6003" xr:uid="{00000000-0005-0000-0000-000072150000}"/>
    <cellStyle name="Normal 4 4 3 2 2 4 3 2" xfId="14445" xr:uid="{ACD2F75A-3769-4C54-89A6-2A360F190235}"/>
    <cellStyle name="Normal 4 4 3 2 2 4 4" xfId="10227" xr:uid="{BF837D22-C3AC-4626-9405-D1B4160F344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B8EB3CB9-DEC8-4319-8704-92BD5D3DB491}"/>
    <cellStyle name="Normal 4 4 3 2 2 5 2 3" xfId="12785" xr:uid="{E1514C89-1A67-497E-9D7E-66F91F1C4AE0}"/>
    <cellStyle name="Normal 4 4 3 2 2 5 3" xfId="6416" xr:uid="{00000000-0005-0000-0000-000076150000}"/>
    <cellStyle name="Normal 4 4 3 2 2 5 3 2" xfId="14858" xr:uid="{53660A87-E6A8-4D14-8B68-D1F6B60C90D4}"/>
    <cellStyle name="Normal 4 4 3 2 2 5 4" xfId="10640" xr:uid="{C2B489A2-0493-4D63-ABB1-83987CD7D327}"/>
    <cellStyle name="Normal 4 4 3 2 2 6" xfId="2545" xr:uid="{00000000-0005-0000-0000-000077150000}"/>
    <cellStyle name="Normal 4 4 3 2 2 6 2" xfId="6829" xr:uid="{00000000-0005-0000-0000-000078150000}"/>
    <cellStyle name="Normal 4 4 3 2 2 6 2 2" xfId="15271" xr:uid="{D1B76985-03A1-48F2-9523-34997F121403}"/>
    <cellStyle name="Normal 4 4 3 2 2 6 3" xfId="11053" xr:uid="{1551DAD4-F245-40F2-941D-53E8B420F804}"/>
    <cellStyle name="Normal 4 4 3 2 2 7" xfId="4764" xr:uid="{00000000-0005-0000-0000-000079150000}"/>
    <cellStyle name="Normal 4 4 3 2 2 7 2" xfId="13206" xr:uid="{E909BAF4-7393-4F96-A79E-D909D385377F}"/>
    <cellStyle name="Normal 4 4 3 2 2 8" xfId="8988" xr:uid="{D4790BDA-1FFC-4359-9D53-2CEDC1C65F99}"/>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48B19E93-661B-4E24-AB64-D11AADB6A519}"/>
    <cellStyle name="Normal 4 4 3 2 3 2 3" xfId="11545" xr:uid="{0D120F20-72EB-4764-AAC0-053D4C151401}"/>
    <cellStyle name="Normal 4 4 3 2 3 3" xfId="5176" xr:uid="{00000000-0005-0000-0000-00007D150000}"/>
    <cellStyle name="Normal 4 4 3 2 3 3 2" xfId="13618" xr:uid="{2BC27F16-DDFD-4CAD-9721-B4519201EAB7}"/>
    <cellStyle name="Normal 4 4 3 2 3 4" xfId="9400" xr:uid="{6609061A-E660-44E0-ABEA-3A39F802324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A528305B-1692-403D-B449-39B7B81BF139}"/>
    <cellStyle name="Normal 4 4 3 2 4 2 3" xfId="11958" xr:uid="{79CDE364-7E01-4E8B-9239-FD0939CAD420}"/>
    <cellStyle name="Normal 4 4 3 2 4 3" xfId="5589" xr:uid="{00000000-0005-0000-0000-000081150000}"/>
    <cellStyle name="Normal 4 4 3 2 4 3 2" xfId="14031" xr:uid="{4E8BCCFC-F28B-4360-8399-DA1639161BDE}"/>
    <cellStyle name="Normal 4 4 3 2 4 4" xfId="9813" xr:uid="{2B3677BD-DBBA-4850-B83C-49DE7AD3CD4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A4366301-7A74-4F8A-9357-676967432FF5}"/>
    <cellStyle name="Normal 4 4 3 2 5 2 3" xfId="12371" xr:uid="{0EE3050C-6B81-4F37-BF04-7627FF7634AF}"/>
    <cellStyle name="Normal 4 4 3 2 5 3" xfId="6002" xr:uid="{00000000-0005-0000-0000-000085150000}"/>
    <cellStyle name="Normal 4 4 3 2 5 3 2" xfId="14444" xr:uid="{64FBDBCB-CF22-4039-9A3C-DAB5441E993A}"/>
    <cellStyle name="Normal 4 4 3 2 5 4" xfId="10226" xr:uid="{E5E0AD90-5AE2-426A-A59C-91A5F66C480E}"/>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7C70A243-290C-432F-A5DC-467EF3A0D803}"/>
    <cellStyle name="Normal 4 4 3 2 6 2 3" xfId="12784" xr:uid="{262D8232-10F3-4F5A-899D-232C3F4110B0}"/>
    <cellStyle name="Normal 4 4 3 2 6 3" xfId="6415" xr:uid="{00000000-0005-0000-0000-000089150000}"/>
    <cellStyle name="Normal 4 4 3 2 6 3 2" xfId="14857" xr:uid="{DB14663F-0DF6-4045-ABD8-EAF7DCECAE3A}"/>
    <cellStyle name="Normal 4 4 3 2 6 4" xfId="10639" xr:uid="{88D108FB-3156-49FB-9E78-B73B2F56B587}"/>
    <cellStyle name="Normal 4 4 3 2 7" xfId="2544" xr:uid="{00000000-0005-0000-0000-00008A150000}"/>
    <cellStyle name="Normal 4 4 3 2 7 2" xfId="6828" xr:uid="{00000000-0005-0000-0000-00008B150000}"/>
    <cellStyle name="Normal 4 4 3 2 7 2 2" xfId="15270" xr:uid="{F488B390-4347-4336-B313-FDC041E42852}"/>
    <cellStyle name="Normal 4 4 3 2 7 3" xfId="11052" xr:uid="{81D385D0-6F5F-497C-9959-EB263D4533D2}"/>
    <cellStyle name="Normal 4 4 3 2 8" xfId="4763" xr:uid="{00000000-0005-0000-0000-00008C150000}"/>
    <cellStyle name="Normal 4 4 3 2 8 2" xfId="13205" xr:uid="{43FAD500-E147-4BD1-8E2F-45CC2715A708}"/>
    <cellStyle name="Normal 4 4 3 2 9" xfId="8987" xr:uid="{D54DED37-03EC-42A1-912A-CD5BEE9DDEA6}"/>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ABA986B-E6B3-4787-B5F5-D8D97A210FF0}"/>
    <cellStyle name="Normal 4 4 3 3 2 2 3" xfId="11547" xr:uid="{652E8221-B033-43F4-898E-BA3BFDA350A7}"/>
    <cellStyle name="Normal 4 4 3 3 2 3" xfId="5178" xr:uid="{00000000-0005-0000-0000-000091150000}"/>
    <cellStyle name="Normal 4 4 3 3 2 3 2" xfId="13620" xr:uid="{F9E71BD0-08CF-4DD1-9C75-3D5E989C8014}"/>
    <cellStyle name="Normal 4 4 3 3 2 4" xfId="9402" xr:uid="{3191881A-C8D9-4FD2-AFEB-177F58F9E8C1}"/>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02AEDF58-519D-414A-ADB8-29DABA066211}"/>
    <cellStyle name="Normal 4 4 3 3 3 2 3" xfId="11960" xr:uid="{7B44273C-46FD-4505-8267-43AFAAD260F7}"/>
    <cellStyle name="Normal 4 4 3 3 3 3" xfId="5591" xr:uid="{00000000-0005-0000-0000-000095150000}"/>
    <cellStyle name="Normal 4 4 3 3 3 3 2" xfId="14033" xr:uid="{36964129-79F6-4DBE-8740-DB2A18E8962E}"/>
    <cellStyle name="Normal 4 4 3 3 3 4" xfId="9815" xr:uid="{6500A00C-FA1E-4339-9527-683E6A9D45D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A9E60BF1-E8B6-4F4E-9B92-1C3EABC3639E}"/>
    <cellStyle name="Normal 4 4 3 3 4 2 3" xfId="12373" xr:uid="{B332F2D1-B0C8-4C8B-838F-724BEBA5A345}"/>
    <cellStyle name="Normal 4 4 3 3 4 3" xfId="6004" xr:uid="{00000000-0005-0000-0000-000099150000}"/>
    <cellStyle name="Normal 4 4 3 3 4 3 2" xfId="14446" xr:uid="{35B2FB85-5B6C-4BC8-A00D-8F9A851AA08A}"/>
    <cellStyle name="Normal 4 4 3 3 4 4" xfId="10228" xr:uid="{1D6E4C60-685E-4548-BBA2-7702C537A222}"/>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C686DBFD-D779-44EE-A494-AC6F1A341696}"/>
    <cellStyle name="Normal 4 4 3 3 5 2 3" xfId="12786" xr:uid="{7B1410B6-B235-483E-9EED-094997E91B36}"/>
    <cellStyle name="Normal 4 4 3 3 5 3" xfId="6417" xr:uid="{00000000-0005-0000-0000-00009D150000}"/>
    <cellStyle name="Normal 4 4 3 3 5 3 2" xfId="14859" xr:uid="{39151727-4D6E-4C50-9B3C-1D735EAFF9A4}"/>
    <cellStyle name="Normal 4 4 3 3 5 4" xfId="10641" xr:uid="{8F7BD05F-1883-4CE8-8781-BACB6405DFAA}"/>
    <cellStyle name="Normal 4 4 3 3 6" xfId="2546" xr:uid="{00000000-0005-0000-0000-00009E150000}"/>
    <cellStyle name="Normal 4 4 3 3 6 2" xfId="6830" xr:uid="{00000000-0005-0000-0000-00009F150000}"/>
    <cellStyle name="Normal 4 4 3 3 6 2 2" xfId="15272" xr:uid="{941E74BB-61A2-410C-9801-6E51507F744D}"/>
    <cellStyle name="Normal 4 4 3 3 6 3" xfId="11054" xr:uid="{5BDFEC66-E564-4DEC-9993-CFAE48E0B091}"/>
    <cellStyle name="Normal 4 4 3 3 7" xfId="4765" xr:uid="{00000000-0005-0000-0000-0000A0150000}"/>
    <cellStyle name="Normal 4 4 3 3 7 2" xfId="13207" xr:uid="{CAF1618D-197C-40F5-AFE8-9E87977FB258}"/>
    <cellStyle name="Normal 4 4 3 3 8" xfId="8989" xr:uid="{F795A1BD-9E53-4ADD-9D09-9AB55A92CEE3}"/>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A3595119-CA51-43B5-BDBC-D86F8B6264CE}"/>
    <cellStyle name="Normal 4 4 3 4 2 3" xfId="11544" xr:uid="{2CAFC391-E2EA-4D94-BCAC-74912B0ED3B0}"/>
    <cellStyle name="Normal 4 4 3 4 3" xfId="5175" xr:uid="{00000000-0005-0000-0000-0000A4150000}"/>
    <cellStyle name="Normal 4 4 3 4 3 2" xfId="13617" xr:uid="{DCC7A969-2587-46A0-9231-605B0041B032}"/>
    <cellStyle name="Normal 4 4 3 4 4" xfId="9399" xr:uid="{56192B27-E7A5-46E3-BE02-2A92F403E85E}"/>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DDDF6651-8A91-4E1A-B8BA-A284DD3F0D33}"/>
    <cellStyle name="Normal 4 4 3 5 2 3" xfId="11957" xr:uid="{212F0E83-564B-4890-8A62-81A9E51B0ACB}"/>
    <cellStyle name="Normal 4 4 3 5 3" xfId="5588" xr:uid="{00000000-0005-0000-0000-0000A8150000}"/>
    <cellStyle name="Normal 4 4 3 5 3 2" xfId="14030" xr:uid="{1426CB9E-F5CB-4B41-85CE-2F44080FB8B5}"/>
    <cellStyle name="Normal 4 4 3 5 4" xfId="9812" xr:uid="{50C1524B-4302-4DAA-A542-6E42E0C0E765}"/>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8E6FED85-003B-4BA9-B70A-A50D204B90D8}"/>
    <cellStyle name="Normal 4 4 3 6 2 3" xfId="12370" xr:uid="{96CB251A-0886-4473-83E5-15A4AD7A7310}"/>
    <cellStyle name="Normal 4 4 3 6 3" xfId="6001" xr:uid="{00000000-0005-0000-0000-0000AC150000}"/>
    <cellStyle name="Normal 4 4 3 6 3 2" xfId="14443" xr:uid="{B68A9A16-7EC5-4C1D-ABEF-C5376AFE6551}"/>
    <cellStyle name="Normal 4 4 3 6 4" xfId="10225" xr:uid="{D95584FA-DB6F-48B8-95C5-D24ED0BCD241}"/>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17ED6BC5-5C5F-4C71-A4A8-DA80584CADE7}"/>
    <cellStyle name="Normal 4 4 3 7 2 3" xfId="12783" xr:uid="{11B9D060-4D7F-47FF-ABA6-610EAE116310}"/>
    <cellStyle name="Normal 4 4 3 7 3" xfId="6414" xr:uid="{00000000-0005-0000-0000-0000B0150000}"/>
    <cellStyle name="Normal 4 4 3 7 3 2" xfId="14856" xr:uid="{595C6592-A179-4599-B221-907FBD6147B2}"/>
    <cellStyle name="Normal 4 4 3 7 4" xfId="10638" xr:uid="{623D38F0-3D4D-4D96-95BB-F74107ADDAE4}"/>
    <cellStyle name="Normal 4 4 3 8" xfId="2543" xr:uid="{00000000-0005-0000-0000-0000B1150000}"/>
    <cellStyle name="Normal 4 4 3 8 2" xfId="6827" xr:uid="{00000000-0005-0000-0000-0000B2150000}"/>
    <cellStyle name="Normal 4 4 3 8 2 2" xfId="15269" xr:uid="{0F00799B-8E8E-4F4A-8B5E-4BA5F0E58A02}"/>
    <cellStyle name="Normal 4 4 3 8 3" xfId="11051" xr:uid="{A699BF5B-58D8-4619-8423-B9E3A9D20AE6}"/>
    <cellStyle name="Normal 4 4 3 9" xfId="4762" xr:uid="{00000000-0005-0000-0000-0000B3150000}"/>
    <cellStyle name="Normal 4 4 3 9 2" xfId="13204" xr:uid="{3CBA7743-31E3-491C-B0D6-BA0A25B77524}"/>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C0862CCD-CD72-43AE-A544-ECB455983102}"/>
    <cellStyle name="Normal 4 4 4 2 2 2 3" xfId="11549" xr:uid="{9DF6A48D-A711-4409-A0D2-2E69D3E97A68}"/>
    <cellStyle name="Normal 4 4 4 2 2 3" xfId="5180" xr:uid="{00000000-0005-0000-0000-0000B9150000}"/>
    <cellStyle name="Normal 4 4 4 2 2 3 2" xfId="13622" xr:uid="{50D349FD-77C1-4BA5-A637-27728EE961F0}"/>
    <cellStyle name="Normal 4 4 4 2 2 4" xfId="9404" xr:uid="{0047C059-0B06-4849-97EE-A64A963946ED}"/>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634223CF-ED97-4998-BCB8-74F493A2D51F}"/>
    <cellStyle name="Normal 4 4 4 2 3 2 3" xfId="11962" xr:uid="{824E50FE-E8B7-4619-B731-757D76C4AA9D}"/>
    <cellStyle name="Normal 4 4 4 2 3 3" xfId="5593" xr:uid="{00000000-0005-0000-0000-0000BD150000}"/>
    <cellStyle name="Normal 4 4 4 2 3 3 2" xfId="14035" xr:uid="{8901290C-4C29-4535-AB34-60ED23E073AD}"/>
    <cellStyle name="Normal 4 4 4 2 3 4" xfId="9817" xr:uid="{CC3A5996-D2C9-43DC-BFD4-3B7E81C58C57}"/>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81652C10-C91F-49C4-95B3-F1F4CA65B27D}"/>
    <cellStyle name="Normal 4 4 4 2 4 2 3" xfId="12375" xr:uid="{A1F7C777-E55C-4F89-ADCE-6CB75739C02A}"/>
    <cellStyle name="Normal 4 4 4 2 4 3" xfId="6006" xr:uid="{00000000-0005-0000-0000-0000C1150000}"/>
    <cellStyle name="Normal 4 4 4 2 4 3 2" xfId="14448" xr:uid="{58248D3E-CDD1-4428-96F5-465B85AFF97A}"/>
    <cellStyle name="Normal 4 4 4 2 4 4" xfId="10230" xr:uid="{06AAD094-2C34-46BC-8675-7CA0B221BB0B}"/>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DE20BB9E-CD6D-4626-80D1-92EB5E01A8B8}"/>
    <cellStyle name="Normal 4 4 4 2 5 2 3" xfId="12788" xr:uid="{6A321798-BEFB-48F1-8CCD-D5B9AF3DA241}"/>
    <cellStyle name="Normal 4 4 4 2 5 3" xfId="6419" xr:uid="{00000000-0005-0000-0000-0000C5150000}"/>
    <cellStyle name="Normal 4 4 4 2 5 3 2" xfId="14861" xr:uid="{839C0004-8E8A-4B6A-B8FE-30D20D31B130}"/>
    <cellStyle name="Normal 4 4 4 2 5 4" xfId="10643" xr:uid="{24EC3996-4F5C-43EB-A68C-89392CF887F6}"/>
    <cellStyle name="Normal 4 4 4 2 6" xfId="2548" xr:uid="{00000000-0005-0000-0000-0000C6150000}"/>
    <cellStyle name="Normal 4 4 4 2 6 2" xfId="6832" xr:uid="{00000000-0005-0000-0000-0000C7150000}"/>
    <cellStyle name="Normal 4 4 4 2 6 2 2" xfId="15274" xr:uid="{D7ADCB72-D7DD-4860-A0B0-601BD7196CA7}"/>
    <cellStyle name="Normal 4 4 4 2 6 3" xfId="11056" xr:uid="{10282F94-B5AF-4BD2-834C-593CC79B54E8}"/>
    <cellStyle name="Normal 4 4 4 2 7" xfId="4767" xr:uid="{00000000-0005-0000-0000-0000C8150000}"/>
    <cellStyle name="Normal 4 4 4 2 7 2" xfId="13209" xr:uid="{038A73C0-8081-4492-87AD-87A78FC079F3}"/>
    <cellStyle name="Normal 4 4 4 2 8" xfId="8991" xr:uid="{A797BD00-F392-4387-8B5E-F292BF876CAB}"/>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B451177E-EA10-4338-BC88-AD4F4E4607B6}"/>
    <cellStyle name="Normal 4 4 4 3 2 3" xfId="11548" xr:uid="{AB7C4E52-EB88-4380-82A7-35361B3C3915}"/>
    <cellStyle name="Normal 4 4 4 3 3" xfId="5179" xr:uid="{00000000-0005-0000-0000-0000CC150000}"/>
    <cellStyle name="Normal 4 4 4 3 3 2" xfId="13621" xr:uid="{9D57D231-6DF4-44C5-99FA-57AFA269C8AE}"/>
    <cellStyle name="Normal 4 4 4 3 4" xfId="9403" xr:uid="{87C988A6-7DD6-4750-8ED9-E4B87CF24D8E}"/>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000FF32D-C175-46C3-9ACD-8467199A51DB}"/>
    <cellStyle name="Normal 4 4 4 4 2 3" xfId="11961" xr:uid="{3CD1686A-DED7-4744-9B07-5E0EEF703137}"/>
    <cellStyle name="Normal 4 4 4 4 3" xfId="5592" xr:uid="{00000000-0005-0000-0000-0000D0150000}"/>
    <cellStyle name="Normal 4 4 4 4 3 2" xfId="14034" xr:uid="{0030C285-996F-4702-B6CC-8C7F93C69960}"/>
    <cellStyle name="Normal 4 4 4 4 4" xfId="9816" xr:uid="{2EDBF3E2-7077-4EAD-B57A-4DF5CF2197B1}"/>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23AD2A58-2CDB-4CD2-91C7-1C9E4FC54998}"/>
    <cellStyle name="Normal 4 4 4 5 2 3" xfId="12374" xr:uid="{2875F8CA-6350-47A4-A151-7ED9DA607AA8}"/>
    <cellStyle name="Normal 4 4 4 5 3" xfId="6005" xr:uid="{00000000-0005-0000-0000-0000D4150000}"/>
    <cellStyle name="Normal 4 4 4 5 3 2" xfId="14447" xr:uid="{FE2BDDF6-3EE9-40AC-BD44-14B79048C9BA}"/>
    <cellStyle name="Normal 4 4 4 5 4" xfId="10229" xr:uid="{2AAA3662-6E43-4EF0-99CE-6C4AEA93E80B}"/>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13DBB55-5EDD-4611-A2EB-5AD98980E8B7}"/>
    <cellStyle name="Normal 4 4 4 6 2 3" xfId="12787" xr:uid="{5FF75FA8-AEF9-456B-84EC-9D261B2EC371}"/>
    <cellStyle name="Normal 4 4 4 6 3" xfId="6418" xr:uid="{00000000-0005-0000-0000-0000D8150000}"/>
    <cellStyle name="Normal 4 4 4 6 3 2" xfId="14860" xr:uid="{AC4335E2-3C3F-4EA8-B49A-E94BA659E364}"/>
    <cellStyle name="Normal 4 4 4 6 4" xfId="10642" xr:uid="{CD1C6A9E-03BE-4264-95BF-3545D71EA33D}"/>
    <cellStyle name="Normal 4 4 4 7" xfId="2547" xr:uid="{00000000-0005-0000-0000-0000D9150000}"/>
    <cellStyle name="Normal 4 4 4 7 2" xfId="6831" xr:uid="{00000000-0005-0000-0000-0000DA150000}"/>
    <cellStyle name="Normal 4 4 4 7 2 2" xfId="15273" xr:uid="{8BB694C7-FB1C-4BDA-8012-EED24EDEDF89}"/>
    <cellStyle name="Normal 4 4 4 7 3" xfId="11055" xr:uid="{FC1B2CAA-BAC9-417D-9D15-8833FB232C0B}"/>
    <cellStyle name="Normal 4 4 4 8" xfId="4766" xr:uid="{00000000-0005-0000-0000-0000DB150000}"/>
    <cellStyle name="Normal 4 4 4 8 2" xfId="13208" xr:uid="{8607CCCF-5DDD-4FF6-8370-80309F5DD555}"/>
    <cellStyle name="Normal 4 4 4 9" xfId="8990" xr:uid="{67BBFDC5-81E0-4707-BBA2-84ECD94E5C78}"/>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AD7B6F44-EDC4-4501-8038-34B9DAF093F7}"/>
    <cellStyle name="Normal 4 4 5 2 2 3" xfId="11550" xr:uid="{3594C264-EF6B-48BE-8FDA-AFE99B08C5A1}"/>
    <cellStyle name="Normal 4 4 5 2 3" xfId="5181" xr:uid="{00000000-0005-0000-0000-0000E0150000}"/>
    <cellStyle name="Normal 4 4 5 2 3 2" xfId="13623" xr:uid="{6721DFA5-0922-438B-9E3F-D7088503CF5A}"/>
    <cellStyle name="Normal 4 4 5 2 4" xfId="9405" xr:uid="{0EBE4EEC-20A9-402D-811D-A8A2E7AD65EA}"/>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EF0D0A6D-2A40-4560-B97B-BA1A431FE0B5}"/>
    <cellStyle name="Normal 4 4 5 3 2 3" xfId="11963" xr:uid="{2F95E250-07EA-4AC9-87BC-F51A3B8AB04A}"/>
    <cellStyle name="Normal 4 4 5 3 3" xfId="5594" xr:uid="{00000000-0005-0000-0000-0000E4150000}"/>
    <cellStyle name="Normal 4 4 5 3 3 2" xfId="14036" xr:uid="{CE323351-C979-48CF-B864-3357FEDE9D70}"/>
    <cellStyle name="Normal 4 4 5 3 4" xfId="9818" xr:uid="{98172755-B336-4380-9BF2-D1A12254AC5C}"/>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02DA4B59-3166-4183-81F9-4BACB06A7B0C}"/>
    <cellStyle name="Normal 4 4 5 4 2 3" xfId="12376" xr:uid="{7A7DA16E-A060-453F-992E-394D60573004}"/>
    <cellStyle name="Normal 4 4 5 4 3" xfId="6007" xr:uid="{00000000-0005-0000-0000-0000E8150000}"/>
    <cellStyle name="Normal 4 4 5 4 3 2" xfId="14449" xr:uid="{9D6AFBD2-7B50-4751-957C-31E422D8ADAC}"/>
    <cellStyle name="Normal 4 4 5 4 4" xfId="10231" xr:uid="{2DEE8214-2163-4858-BB52-7603E036B387}"/>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7D5C455B-F359-4629-B44A-05EC1C1DA504}"/>
    <cellStyle name="Normal 4 4 5 5 2 3" xfId="12789" xr:uid="{5CDAD05A-F872-418B-89A4-11D826052D8B}"/>
    <cellStyle name="Normal 4 4 5 5 3" xfId="6420" xr:uid="{00000000-0005-0000-0000-0000EC150000}"/>
    <cellStyle name="Normal 4 4 5 5 3 2" xfId="14862" xr:uid="{25A8C252-8D96-47DD-94CE-70D4B2A228AC}"/>
    <cellStyle name="Normal 4 4 5 5 4" xfId="10644" xr:uid="{394A0A4B-2378-4B83-8613-14D1D674ED42}"/>
    <cellStyle name="Normal 4 4 5 6" xfId="2549" xr:uid="{00000000-0005-0000-0000-0000ED150000}"/>
    <cellStyle name="Normal 4 4 5 6 2" xfId="6833" xr:uid="{00000000-0005-0000-0000-0000EE150000}"/>
    <cellStyle name="Normal 4 4 5 6 2 2" xfId="15275" xr:uid="{E82AD1C3-A35A-4ECA-84BB-81D2424CEC1A}"/>
    <cellStyle name="Normal 4 4 5 6 3" xfId="11057" xr:uid="{F9B940C3-A41E-4923-B67A-CB390CE6A577}"/>
    <cellStyle name="Normal 4 4 5 7" xfId="4768" xr:uid="{00000000-0005-0000-0000-0000EF150000}"/>
    <cellStyle name="Normal 4 4 5 7 2" xfId="13210" xr:uid="{490D9CBB-5427-4306-9378-050445B857B2}"/>
    <cellStyle name="Normal 4 4 5 8" xfId="8992" xr:uid="{BD71F7DF-F3E5-4504-B875-0C513E133B50}"/>
    <cellStyle name="Normal 4 4 6" xfId="853" xr:uid="{00000000-0005-0000-0000-0000F0150000}"/>
    <cellStyle name="Normal 4 4 6 2" xfId="3088" xr:uid="{00000000-0005-0000-0000-0000F1150000}"/>
    <cellStyle name="Normal 4 4 6 2 2" xfId="7311" xr:uid="{00000000-0005-0000-0000-0000F2150000}"/>
    <cellStyle name="Normal 4 4 6 2 2 2" xfId="15753" xr:uid="{B6B238A7-86D2-4D4B-A101-877366B30F1F}"/>
    <cellStyle name="Normal 4 4 6 2 3" xfId="11535" xr:uid="{3AC18940-C1CB-4F3F-81EA-3DECDEFBEC86}"/>
    <cellStyle name="Normal 4 4 6 3" xfId="5166" xr:uid="{00000000-0005-0000-0000-0000F3150000}"/>
    <cellStyle name="Normal 4 4 6 3 2" xfId="13608" xr:uid="{943A2F1B-C9AC-41FF-9440-400DA2FD7AD0}"/>
    <cellStyle name="Normal 4 4 6 4" xfId="9390" xr:uid="{B695DE7E-C261-4221-95DB-DD83FD2FC0B9}"/>
    <cellStyle name="Normal 4 4 7" xfId="1271" xr:uid="{00000000-0005-0000-0000-0000F4150000}"/>
    <cellStyle name="Normal 4 4 7 2" xfId="3501" xr:uid="{00000000-0005-0000-0000-0000F5150000}"/>
    <cellStyle name="Normal 4 4 7 2 2" xfId="7724" xr:uid="{00000000-0005-0000-0000-0000F6150000}"/>
    <cellStyle name="Normal 4 4 7 2 2 2" xfId="16166" xr:uid="{52E1853F-F005-43B8-9A82-9D70F79DC5D7}"/>
    <cellStyle name="Normal 4 4 7 2 3" xfId="11948" xr:uid="{EBA80B3A-3FBD-4F79-A0FA-6AE3D022596F}"/>
    <cellStyle name="Normal 4 4 7 3" xfId="5579" xr:uid="{00000000-0005-0000-0000-0000F7150000}"/>
    <cellStyle name="Normal 4 4 7 3 2" xfId="14021" xr:uid="{85102CFA-3FBB-4E56-924B-6037A848B612}"/>
    <cellStyle name="Normal 4 4 7 4" xfId="9803" xr:uid="{9BDF40C7-E8B1-4A29-A3FC-C297B15172B2}"/>
    <cellStyle name="Normal 4 4 8" xfId="1684" xr:uid="{00000000-0005-0000-0000-0000F8150000}"/>
    <cellStyle name="Normal 4 4 8 2" xfId="3914" xr:uid="{00000000-0005-0000-0000-0000F9150000}"/>
    <cellStyle name="Normal 4 4 8 2 2" xfId="8137" xr:uid="{00000000-0005-0000-0000-0000FA150000}"/>
    <cellStyle name="Normal 4 4 8 2 2 2" xfId="16579" xr:uid="{7B717E20-E132-49FB-AD5A-BDC949B151E9}"/>
    <cellStyle name="Normal 4 4 8 2 3" xfId="12361" xr:uid="{0320CDF3-F5BF-42F2-A227-154A7D47758A}"/>
    <cellStyle name="Normal 4 4 8 3" xfId="5992" xr:uid="{00000000-0005-0000-0000-0000FB150000}"/>
    <cellStyle name="Normal 4 4 8 3 2" xfId="14434" xr:uid="{4F4BF3CC-034B-43D9-A87D-C913D96EC3FD}"/>
    <cellStyle name="Normal 4 4 8 4" xfId="10216" xr:uid="{D3CE7B4C-7529-41BB-8EBC-D53AFC399123}"/>
    <cellStyle name="Normal 4 4 9" xfId="2098" xr:uid="{00000000-0005-0000-0000-0000FC150000}"/>
    <cellStyle name="Normal 4 4 9 2" xfId="4327" xr:uid="{00000000-0005-0000-0000-0000FD150000}"/>
    <cellStyle name="Normal 4 4 9 2 2" xfId="8550" xr:uid="{00000000-0005-0000-0000-0000FE150000}"/>
    <cellStyle name="Normal 4 4 9 2 2 2" xfId="16992" xr:uid="{8F206C56-5676-4F95-A5BF-3871217C9842}"/>
    <cellStyle name="Normal 4 4 9 2 3" xfId="12774" xr:uid="{D9CC6074-035F-46D5-A1C7-BE7BAB18017A}"/>
    <cellStyle name="Normal 4 4 9 3" xfId="6405" xr:uid="{00000000-0005-0000-0000-0000FF150000}"/>
    <cellStyle name="Normal 4 4 9 3 2" xfId="14847" xr:uid="{2FF87603-36B7-472D-8F6D-B91E353846D5}"/>
    <cellStyle name="Normal 4 4 9 4" xfId="10629" xr:uid="{EAED9C80-A79C-420C-B59D-9A0DBF9ABEA7}"/>
    <cellStyle name="Normal 4 5" xfId="394" xr:uid="{00000000-0005-0000-0000-000000160000}"/>
    <cellStyle name="Normal 4 6" xfId="395" xr:uid="{00000000-0005-0000-0000-000001160000}"/>
    <cellStyle name="Normal 4 6 10" xfId="4769" xr:uid="{00000000-0005-0000-0000-000002160000}"/>
    <cellStyle name="Normal 4 6 10 2" xfId="13211" xr:uid="{E34E0829-A8C0-486D-B5D4-A9CE9A1915D1}"/>
    <cellStyle name="Normal 4 6 11" xfId="8993" xr:uid="{3010A45B-168A-46BC-9CCA-E19B8588A419}"/>
    <cellStyle name="Normal 4 6 2" xfId="396" xr:uid="{00000000-0005-0000-0000-000003160000}"/>
    <cellStyle name="Normal 4 6 2 10" xfId="8994" xr:uid="{6777E298-6E76-4FE5-872A-E1DA974CEDF5}"/>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3BAD3071-6C9A-497E-9A56-2AFDD4D3563D}"/>
    <cellStyle name="Normal 4 6 2 2 2 2 2 3" xfId="11554" xr:uid="{79F48BF1-CD4B-42C6-AD65-A279CC6EE307}"/>
    <cellStyle name="Normal 4 6 2 2 2 2 3" xfId="5185" xr:uid="{00000000-0005-0000-0000-000009160000}"/>
    <cellStyle name="Normal 4 6 2 2 2 2 3 2" xfId="13627" xr:uid="{EDC27E51-BF83-4B92-ADBC-FBE1858704DE}"/>
    <cellStyle name="Normal 4 6 2 2 2 2 4" xfId="9409" xr:uid="{A49C0CAD-6787-4D99-B647-1C11167D99A1}"/>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EC3FFBA9-202F-476B-B065-C2ED008EC48C}"/>
    <cellStyle name="Normal 4 6 2 2 2 3 2 3" xfId="11967" xr:uid="{4D8AAD1F-96D1-41D8-B72A-37A66BDEB6B1}"/>
    <cellStyle name="Normal 4 6 2 2 2 3 3" xfId="5598" xr:uid="{00000000-0005-0000-0000-00000D160000}"/>
    <cellStyle name="Normal 4 6 2 2 2 3 3 2" xfId="14040" xr:uid="{66EF13FA-A56B-4B57-91FA-8911E0E95E45}"/>
    <cellStyle name="Normal 4 6 2 2 2 3 4" xfId="9822" xr:uid="{ECEF8CB4-A197-4086-A2BD-6DFA9A104E11}"/>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D805109F-A233-48F3-86C0-EEF0BD7E1EB3}"/>
    <cellStyle name="Normal 4 6 2 2 2 4 2 3" xfId="12380" xr:uid="{EA906F72-CED7-49BF-9B27-5AE3BCD22776}"/>
    <cellStyle name="Normal 4 6 2 2 2 4 3" xfId="6011" xr:uid="{00000000-0005-0000-0000-000011160000}"/>
    <cellStyle name="Normal 4 6 2 2 2 4 3 2" xfId="14453" xr:uid="{C53664F4-CA37-46DE-92F9-89BAAD1891DD}"/>
    <cellStyle name="Normal 4 6 2 2 2 4 4" xfId="10235" xr:uid="{51CA5B9A-A522-483E-8148-5E814E8AB21C}"/>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42806CAA-54F5-4B0C-90D7-2AB444280D02}"/>
    <cellStyle name="Normal 4 6 2 2 2 5 2 3" xfId="12793" xr:uid="{3E3F0FEA-E3CE-434E-ABA4-064D9E6B86E3}"/>
    <cellStyle name="Normal 4 6 2 2 2 5 3" xfId="6424" xr:uid="{00000000-0005-0000-0000-000015160000}"/>
    <cellStyle name="Normal 4 6 2 2 2 5 3 2" xfId="14866" xr:uid="{4D4E8FDF-65E9-4A00-BE4E-0C393264B3D0}"/>
    <cellStyle name="Normal 4 6 2 2 2 5 4" xfId="10648" xr:uid="{68EBB604-1A06-428F-AB31-3D14190D9D06}"/>
    <cellStyle name="Normal 4 6 2 2 2 6" xfId="2553" xr:uid="{00000000-0005-0000-0000-000016160000}"/>
    <cellStyle name="Normal 4 6 2 2 2 6 2" xfId="6837" xr:uid="{00000000-0005-0000-0000-000017160000}"/>
    <cellStyle name="Normal 4 6 2 2 2 6 2 2" xfId="15279" xr:uid="{6DDD2EF3-FAA7-4624-BB7C-BDC6B6AF9876}"/>
    <cellStyle name="Normal 4 6 2 2 2 6 3" xfId="11061" xr:uid="{6F6359C9-BCCE-46DE-BE58-5A7E25C7C16D}"/>
    <cellStyle name="Normal 4 6 2 2 2 7" xfId="4772" xr:uid="{00000000-0005-0000-0000-000018160000}"/>
    <cellStyle name="Normal 4 6 2 2 2 7 2" xfId="13214" xr:uid="{09ECC47A-4C41-4C10-947A-7796BBD11D9A}"/>
    <cellStyle name="Normal 4 6 2 2 2 8" xfId="8996" xr:uid="{B5F400D3-318E-4562-B98F-B1E592854527}"/>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E93E88D4-4E89-430A-95EF-C143DF845EA6}"/>
    <cellStyle name="Normal 4 6 2 2 3 2 3" xfId="11553" xr:uid="{CBE975A7-8E30-44C7-B099-F2BD51F685CC}"/>
    <cellStyle name="Normal 4 6 2 2 3 3" xfId="5184" xr:uid="{00000000-0005-0000-0000-00001C160000}"/>
    <cellStyle name="Normal 4 6 2 2 3 3 2" xfId="13626" xr:uid="{7A11AAE0-D5AB-4748-B3B0-6E5EDB393F8C}"/>
    <cellStyle name="Normal 4 6 2 2 3 4" xfId="9408" xr:uid="{C7ACC76D-77CC-4B90-B33E-042FA9547CBD}"/>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96EC2743-DEF2-410A-A997-42C23E323865}"/>
    <cellStyle name="Normal 4 6 2 2 4 2 3" xfId="11966" xr:uid="{D018A39F-9194-4E97-9FE3-63B30DB37235}"/>
    <cellStyle name="Normal 4 6 2 2 4 3" xfId="5597" xr:uid="{00000000-0005-0000-0000-000020160000}"/>
    <cellStyle name="Normal 4 6 2 2 4 3 2" xfId="14039" xr:uid="{0A0684C0-14F4-4255-92CA-A0CFF49ED182}"/>
    <cellStyle name="Normal 4 6 2 2 4 4" xfId="9821" xr:uid="{BAEA704D-084F-4E3C-B7E9-BE340A56D43D}"/>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88E6C62C-75C5-447C-B332-70D0DB6C7AB1}"/>
    <cellStyle name="Normal 4 6 2 2 5 2 3" xfId="12379" xr:uid="{97A77D23-584A-488B-A842-A6EB1AA07DF4}"/>
    <cellStyle name="Normal 4 6 2 2 5 3" xfId="6010" xr:uid="{00000000-0005-0000-0000-000024160000}"/>
    <cellStyle name="Normal 4 6 2 2 5 3 2" xfId="14452" xr:uid="{D9EDC36D-5555-4D06-B75C-7AA9803934FC}"/>
    <cellStyle name="Normal 4 6 2 2 5 4" xfId="10234" xr:uid="{5D1A26F9-19E4-4CCD-9B31-7AAB86A4519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84A71E7B-10B8-4171-87B4-2043A1E72346}"/>
    <cellStyle name="Normal 4 6 2 2 6 2 3" xfId="12792" xr:uid="{53FBDC93-8429-43EC-BEED-2EE63810B351}"/>
    <cellStyle name="Normal 4 6 2 2 6 3" xfId="6423" xr:uid="{00000000-0005-0000-0000-000028160000}"/>
    <cellStyle name="Normal 4 6 2 2 6 3 2" xfId="14865" xr:uid="{7EB28CEA-42F8-4AAA-A586-B4BED8AC8A7B}"/>
    <cellStyle name="Normal 4 6 2 2 6 4" xfId="10647" xr:uid="{85AC7C80-6870-41C3-95C4-4CE7C76644AF}"/>
    <cellStyle name="Normal 4 6 2 2 7" xfId="2552" xr:uid="{00000000-0005-0000-0000-000029160000}"/>
    <cellStyle name="Normal 4 6 2 2 7 2" xfId="6836" xr:uid="{00000000-0005-0000-0000-00002A160000}"/>
    <cellStyle name="Normal 4 6 2 2 7 2 2" xfId="15278" xr:uid="{D7A90083-C30B-45A3-B5B8-BEE1FE6C618D}"/>
    <cellStyle name="Normal 4 6 2 2 7 3" xfId="11060" xr:uid="{1B45DAA3-053B-45B6-B58D-4539D1C0132A}"/>
    <cellStyle name="Normal 4 6 2 2 8" xfId="4771" xr:uid="{00000000-0005-0000-0000-00002B160000}"/>
    <cellStyle name="Normal 4 6 2 2 8 2" xfId="13213" xr:uid="{B6273DCA-CD0F-4AB0-A5A2-6CF970229E92}"/>
    <cellStyle name="Normal 4 6 2 2 9" xfId="8995" xr:uid="{188ED261-D595-470F-A8D9-319EF88C55D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43EB6F47-D2C2-47F3-8CE2-3AE93701A2D1}"/>
    <cellStyle name="Normal 4 6 2 3 2 2 3" xfId="11555" xr:uid="{1926DBCB-E10A-40B0-96CC-63E1C1FB2EBD}"/>
    <cellStyle name="Normal 4 6 2 3 2 3" xfId="5186" xr:uid="{00000000-0005-0000-0000-000030160000}"/>
    <cellStyle name="Normal 4 6 2 3 2 3 2" xfId="13628" xr:uid="{EBC232F7-0F56-4D0F-8CB5-DDA167BB3FC0}"/>
    <cellStyle name="Normal 4 6 2 3 2 4" xfId="9410" xr:uid="{C727DFBE-01F3-4AB3-8B51-AE4490E08FF8}"/>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D94E58D4-F0E5-488E-9666-B6B287172C14}"/>
    <cellStyle name="Normal 4 6 2 3 3 2 3" xfId="11968" xr:uid="{B52EC49A-0989-4540-A587-3EB205A32FB9}"/>
    <cellStyle name="Normal 4 6 2 3 3 3" xfId="5599" xr:uid="{00000000-0005-0000-0000-000034160000}"/>
    <cellStyle name="Normal 4 6 2 3 3 3 2" xfId="14041" xr:uid="{CD94B963-0131-4168-BD65-15BDBF5496A4}"/>
    <cellStyle name="Normal 4 6 2 3 3 4" xfId="9823" xr:uid="{F7F38D20-3BA7-4758-A2D5-74255C6335F6}"/>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3EBA33C5-3831-4E7C-98D9-71ACDE01E233}"/>
    <cellStyle name="Normal 4 6 2 3 4 2 3" xfId="12381" xr:uid="{64E8F9ED-16A5-4E9B-B8FB-98EC7D153FCB}"/>
    <cellStyle name="Normal 4 6 2 3 4 3" xfId="6012" xr:uid="{00000000-0005-0000-0000-000038160000}"/>
    <cellStyle name="Normal 4 6 2 3 4 3 2" xfId="14454" xr:uid="{0F17BA8B-464E-4D2D-BE67-03ECD0E19290}"/>
    <cellStyle name="Normal 4 6 2 3 4 4" xfId="10236" xr:uid="{F8F1B570-F499-4067-9CA3-2B42E0934AB4}"/>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26B02E5D-AC74-4E41-97DE-E8B7A4A71BBF}"/>
    <cellStyle name="Normal 4 6 2 3 5 2 3" xfId="12794" xr:uid="{54591D32-9713-4851-B05D-4A1A51883B30}"/>
    <cellStyle name="Normal 4 6 2 3 5 3" xfId="6425" xr:uid="{00000000-0005-0000-0000-00003C160000}"/>
    <cellStyle name="Normal 4 6 2 3 5 3 2" xfId="14867" xr:uid="{B7C1374A-C39F-4ECE-A90D-0677948577BF}"/>
    <cellStyle name="Normal 4 6 2 3 5 4" xfId="10649" xr:uid="{82CA8CE5-8C05-49F3-80B9-7E772F46D0F7}"/>
    <cellStyle name="Normal 4 6 2 3 6" xfId="2554" xr:uid="{00000000-0005-0000-0000-00003D160000}"/>
    <cellStyle name="Normal 4 6 2 3 6 2" xfId="6838" xr:uid="{00000000-0005-0000-0000-00003E160000}"/>
    <cellStyle name="Normal 4 6 2 3 6 2 2" xfId="15280" xr:uid="{01AB7BD3-EDBF-4377-A085-4990EB8148FF}"/>
    <cellStyle name="Normal 4 6 2 3 6 3" xfId="11062" xr:uid="{DC972307-8172-4822-B9C4-8319609FBFC8}"/>
    <cellStyle name="Normal 4 6 2 3 7" xfId="4773" xr:uid="{00000000-0005-0000-0000-00003F160000}"/>
    <cellStyle name="Normal 4 6 2 3 7 2" xfId="13215" xr:uid="{99FD896A-8C8C-4D9F-873B-ECCC23228A50}"/>
    <cellStyle name="Normal 4 6 2 3 8" xfId="8997" xr:uid="{EDF06F09-5004-4D9D-B5EF-7C55C2D11765}"/>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D4454E4F-2B43-4E13-94CF-04AF2076AB5A}"/>
    <cellStyle name="Normal 4 6 2 4 2 3" xfId="11552" xr:uid="{E1CFD7BE-4385-411E-B34E-548D23F025AC}"/>
    <cellStyle name="Normal 4 6 2 4 3" xfId="5183" xr:uid="{00000000-0005-0000-0000-000043160000}"/>
    <cellStyle name="Normal 4 6 2 4 3 2" xfId="13625" xr:uid="{24330508-0CD4-4D37-BFD2-0F15635185A6}"/>
    <cellStyle name="Normal 4 6 2 4 4" xfId="9407" xr:uid="{69CA74FD-F0ED-4C9D-BF7C-C6BB1CD0789F}"/>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36BF10AA-03E2-4294-9EAF-7E9C475D7A64}"/>
    <cellStyle name="Normal 4 6 2 5 2 3" xfId="11965" xr:uid="{0C0F52CF-D5A8-4E17-8D64-0C5E27BE268F}"/>
    <cellStyle name="Normal 4 6 2 5 3" xfId="5596" xr:uid="{00000000-0005-0000-0000-000047160000}"/>
    <cellStyle name="Normal 4 6 2 5 3 2" xfId="14038" xr:uid="{D4D4F81F-901F-4408-9483-FA1C67AEB29A}"/>
    <cellStyle name="Normal 4 6 2 5 4" xfId="9820" xr:uid="{76C0CE01-4232-4459-8A00-E6850067F6B0}"/>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65D8489E-DD05-49D8-8A1E-68D91F950A05}"/>
    <cellStyle name="Normal 4 6 2 6 2 3" xfId="12378" xr:uid="{DC0A0108-B34C-419C-9542-A66013C3D6B1}"/>
    <cellStyle name="Normal 4 6 2 6 3" xfId="6009" xr:uid="{00000000-0005-0000-0000-00004B160000}"/>
    <cellStyle name="Normal 4 6 2 6 3 2" xfId="14451" xr:uid="{B3333967-BBBA-4C4C-80F2-129ACE44139B}"/>
    <cellStyle name="Normal 4 6 2 6 4" xfId="10233" xr:uid="{EB15C644-3438-45E3-995E-E413FCB01F47}"/>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DFD8A6F2-28E5-4A4A-8A1E-BD17B3D60E12}"/>
    <cellStyle name="Normal 4 6 2 7 2 3" xfId="12791" xr:uid="{EF5788E2-C4AE-4F01-A3E1-154918E53D8A}"/>
    <cellStyle name="Normal 4 6 2 7 3" xfId="6422" xr:uid="{00000000-0005-0000-0000-00004F160000}"/>
    <cellStyle name="Normal 4 6 2 7 3 2" xfId="14864" xr:uid="{5EE62F58-A4A6-4E76-8720-05FCF110FCBC}"/>
    <cellStyle name="Normal 4 6 2 7 4" xfId="10646" xr:uid="{71D159F8-B14A-418D-84A3-E565A383ADDA}"/>
    <cellStyle name="Normal 4 6 2 8" xfId="2551" xr:uid="{00000000-0005-0000-0000-000050160000}"/>
    <cellStyle name="Normal 4 6 2 8 2" xfId="6835" xr:uid="{00000000-0005-0000-0000-000051160000}"/>
    <cellStyle name="Normal 4 6 2 8 2 2" xfId="15277" xr:uid="{5C2AF0AB-4912-45F8-B4E2-D1E629AE2F29}"/>
    <cellStyle name="Normal 4 6 2 8 3" xfId="11059" xr:uid="{E503725A-F874-46B4-8CE5-6BCCA9D28BC6}"/>
    <cellStyle name="Normal 4 6 2 9" xfId="4770" xr:uid="{00000000-0005-0000-0000-000052160000}"/>
    <cellStyle name="Normal 4 6 2 9 2" xfId="13212" xr:uid="{DCCA0286-A722-4BEF-B4E8-29A7269E28E7}"/>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76797EE3-051F-4090-B1C9-46AE80113534}"/>
    <cellStyle name="Normal 4 6 3 2 2 2 3" xfId="11557" xr:uid="{CCBFA4C5-954E-41EE-8730-86E095CCDB79}"/>
    <cellStyle name="Normal 4 6 3 2 2 3" xfId="5188" xr:uid="{00000000-0005-0000-0000-000058160000}"/>
    <cellStyle name="Normal 4 6 3 2 2 3 2" xfId="13630" xr:uid="{E9F07311-E9D2-4194-A4E2-440385ADF16F}"/>
    <cellStyle name="Normal 4 6 3 2 2 4" xfId="9412" xr:uid="{3342B5D1-2CF7-4A69-A6EB-5A85A5A023AC}"/>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C5F74A23-8140-429D-992F-D344FF506499}"/>
    <cellStyle name="Normal 4 6 3 2 3 2 3" xfId="11970" xr:uid="{DCF94C2A-5FC1-4C53-9D11-90145692BA3A}"/>
    <cellStyle name="Normal 4 6 3 2 3 3" xfId="5601" xr:uid="{00000000-0005-0000-0000-00005C160000}"/>
    <cellStyle name="Normal 4 6 3 2 3 3 2" xfId="14043" xr:uid="{7C50EBCD-2DA6-4D7D-8DB2-A62C0D8FA341}"/>
    <cellStyle name="Normal 4 6 3 2 3 4" xfId="9825" xr:uid="{4B2170DE-53B2-4887-B74A-2974727002A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83FBA1CF-9EB5-4EB8-A3DD-7DDA7A55487C}"/>
    <cellStyle name="Normal 4 6 3 2 4 2 3" xfId="12383" xr:uid="{9E7F8F21-E70B-4038-84E9-6935D1465AAA}"/>
    <cellStyle name="Normal 4 6 3 2 4 3" xfId="6014" xr:uid="{00000000-0005-0000-0000-000060160000}"/>
    <cellStyle name="Normal 4 6 3 2 4 3 2" xfId="14456" xr:uid="{EB325EEF-528B-4E05-A170-636BDEB30CAB}"/>
    <cellStyle name="Normal 4 6 3 2 4 4" xfId="10238" xr:uid="{C4C2DD38-1C63-4EA2-8ABC-06D1E9E6F449}"/>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84141A6E-1CCA-45F1-BF6E-91164E1F85D6}"/>
    <cellStyle name="Normal 4 6 3 2 5 2 3" xfId="12796" xr:uid="{4BF5D586-2A00-4352-AE6F-E1AEB2290AFD}"/>
    <cellStyle name="Normal 4 6 3 2 5 3" xfId="6427" xr:uid="{00000000-0005-0000-0000-000064160000}"/>
    <cellStyle name="Normal 4 6 3 2 5 3 2" xfId="14869" xr:uid="{373F954D-DE4B-422D-8C58-024F536B8DC3}"/>
    <cellStyle name="Normal 4 6 3 2 5 4" xfId="10651" xr:uid="{277F3A06-7581-43E0-8B8F-0FB9391088E2}"/>
    <cellStyle name="Normal 4 6 3 2 6" xfId="2556" xr:uid="{00000000-0005-0000-0000-000065160000}"/>
    <cellStyle name="Normal 4 6 3 2 6 2" xfId="6840" xr:uid="{00000000-0005-0000-0000-000066160000}"/>
    <cellStyle name="Normal 4 6 3 2 6 2 2" xfId="15282" xr:uid="{DA593912-46E6-47A9-B211-7FD74A7C5CEC}"/>
    <cellStyle name="Normal 4 6 3 2 6 3" xfId="11064" xr:uid="{4682D257-E057-483A-B904-081E52CBD703}"/>
    <cellStyle name="Normal 4 6 3 2 7" xfId="4775" xr:uid="{00000000-0005-0000-0000-000067160000}"/>
    <cellStyle name="Normal 4 6 3 2 7 2" xfId="13217" xr:uid="{96CE6115-EB1F-4A17-8F39-1F3CD58B80B4}"/>
    <cellStyle name="Normal 4 6 3 2 8" xfId="8999" xr:uid="{B1989AD5-7CD8-4CD7-A6BF-818FC78444F4}"/>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5EC6E94A-9731-4554-AF4E-1AD3BE3F9189}"/>
    <cellStyle name="Normal 4 6 3 3 2 3" xfId="11556" xr:uid="{6FD45F27-9D9B-4AFB-B19C-A99FC5D77E52}"/>
    <cellStyle name="Normal 4 6 3 3 3" xfId="5187" xr:uid="{00000000-0005-0000-0000-00006B160000}"/>
    <cellStyle name="Normal 4 6 3 3 3 2" xfId="13629" xr:uid="{D815E486-ED9A-464A-B4DE-5F005C6049B7}"/>
    <cellStyle name="Normal 4 6 3 3 4" xfId="9411" xr:uid="{7EB942E4-9B9E-4BF3-BB58-EA24B03B6629}"/>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7282F31C-1AFF-4358-8CC3-24A71F77E68D}"/>
    <cellStyle name="Normal 4 6 3 4 2 3" xfId="11969" xr:uid="{7188D832-4AB7-46B5-A3A0-3CC25A97DD68}"/>
    <cellStyle name="Normal 4 6 3 4 3" xfId="5600" xr:uid="{00000000-0005-0000-0000-00006F160000}"/>
    <cellStyle name="Normal 4 6 3 4 3 2" xfId="14042" xr:uid="{E4338E52-3E33-4435-B641-2294AD8B761E}"/>
    <cellStyle name="Normal 4 6 3 4 4" xfId="9824" xr:uid="{E2CF45DA-5E24-4AAD-BE13-5F4BB3D40937}"/>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C1EB19A1-FEB6-436E-BF0E-B87C457FAB0B}"/>
    <cellStyle name="Normal 4 6 3 5 2 3" xfId="12382" xr:uid="{F7E467BD-F2ED-4E4C-A0A6-65E31EDAC52A}"/>
    <cellStyle name="Normal 4 6 3 5 3" xfId="6013" xr:uid="{00000000-0005-0000-0000-000073160000}"/>
    <cellStyle name="Normal 4 6 3 5 3 2" xfId="14455" xr:uid="{0B754C1F-FE59-479B-BC1C-4DF1CA765224}"/>
    <cellStyle name="Normal 4 6 3 5 4" xfId="10237" xr:uid="{A467EDE4-1266-4E21-8A1D-A726382F80E5}"/>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08C512E5-00FE-4DD2-95EB-9E066D50553B}"/>
    <cellStyle name="Normal 4 6 3 6 2 3" xfId="12795" xr:uid="{EDC20DF2-8E28-469D-A533-2D6CF894EEE7}"/>
    <cellStyle name="Normal 4 6 3 6 3" xfId="6426" xr:uid="{00000000-0005-0000-0000-000077160000}"/>
    <cellStyle name="Normal 4 6 3 6 3 2" xfId="14868" xr:uid="{2E5D195D-3BEF-4451-A49E-61D35CA3CF7D}"/>
    <cellStyle name="Normal 4 6 3 6 4" xfId="10650" xr:uid="{0340F3F5-8087-42F7-8B86-33A1C12DA7B4}"/>
    <cellStyle name="Normal 4 6 3 7" xfId="2555" xr:uid="{00000000-0005-0000-0000-000078160000}"/>
    <cellStyle name="Normal 4 6 3 7 2" xfId="6839" xr:uid="{00000000-0005-0000-0000-000079160000}"/>
    <cellStyle name="Normal 4 6 3 7 2 2" xfId="15281" xr:uid="{A3D496B7-51C6-4BAC-BB07-83BB9D5C1728}"/>
    <cellStyle name="Normal 4 6 3 7 3" xfId="11063" xr:uid="{44D8F429-7EAE-429D-AF54-99E23D6451A9}"/>
    <cellStyle name="Normal 4 6 3 8" xfId="4774" xr:uid="{00000000-0005-0000-0000-00007A160000}"/>
    <cellStyle name="Normal 4 6 3 8 2" xfId="13216" xr:uid="{D255AA80-41C1-4C20-B363-31E11BC4F166}"/>
    <cellStyle name="Normal 4 6 3 9" xfId="8998" xr:uid="{FB41B6E8-20A7-48AF-8427-07E6757A6903}"/>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7DAB82BB-9205-4151-9BBB-16050FD2F946}"/>
    <cellStyle name="Normal 4 6 4 2 2 3" xfId="11558" xr:uid="{C3BC7851-9A36-4AE8-BABC-E79CFA87BE52}"/>
    <cellStyle name="Normal 4 6 4 2 3" xfId="5189" xr:uid="{00000000-0005-0000-0000-00007F160000}"/>
    <cellStyle name="Normal 4 6 4 2 3 2" xfId="13631" xr:uid="{B2253050-45C0-452D-8AEF-3555F0802632}"/>
    <cellStyle name="Normal 4 6 4 2 4" xfId="9413" xr:uid="{3873FE0E-7B14-484A-9E31-8DFDA35A836C}"/>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2A118EBE-D755-433D-8BC2-36EF7B32E297}"/>
    <cellStyle name="Normal 4 6 4 3 2 3" xfId="11971" xr:uid="{7F2AB96B-9CFE-47CD-AA4C-0CD1DC82A7F2}"/>
    <cellStyle name="Normal 4 6 4 3 3" xfId="5602" xr:uid="{00000000-0005-0000-0000-000083160000}"/>
    <cellStyle name="Normal 4 6 4 3 3 2" xfId="14044" xr:uid="{5886C33B-A2B4-4446-A64C-2E1F1543647B}"/>
    <cellStyle name="Normal 4 6 4 3 4" xfId="9826" xr:uid="{EDFEB655-0C49-4CE3-8D4A-62332CE84CA5}"/>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868363BA-18F3-41BD-93FD-43181BD5E5AA}"/>
    <cellStyle name="Normal 4 6 4 4 2 3" xfId="12384" xr:uid="{AE8CE88D-D917-4F7E-A613-8270370161DF}"/>
    <cellStyle name="Normal 4 6 4 4 3" xfId="6015" xr:uid="{00000000-0005-0000-0000-000087160000}"/>
    <cellStyle name="Normal 4 6 4 4 3 2" xfId="14457" xr:uid="{1CECAA09-7D14-448F-84B0-AB3E7CA5286C}"/>
    <cellStyle name="Normal 4 6 4 4 4" xfId="10239" xr:uid="{05BD11D0-D5FA-4267-B06E-39DAFA496948}"/>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196F1159-9DF9-4B89-8AF7-A83BEC2644A4}"/>
    <cellStyle name="Normal 4 6 4 5 2 3" xfId="12797" xr:uid="{50037C66-CD97-418E-9F22-C3C0180DD1C0}"/>
    <cellStyle name="Normal 4 6 4 5 3" xfId="6428" xr:uid="{00000000-0005-0000-0000-00008B160000}"/>
    <cellStyle name="Normal 4 6 4 5 3 2" xfId="14870" xr:uid="{E09A43F6-C85E-48BB-95E3-ACF5DCA0EE30}"/>
    <cellStyle name="Normal 4 6 4 5 4" xfId="10652" xr:uid="{737BCDC4-DB02-473E-A76D-2C613E8727FB}"/>
    <cellStyle name="Normal 4 6 4 6" xfId="2557" xr:uid="{00000000-0005-0000-0000-00008C160000}"/>
    <cellStyle name="Normal 4 6 4 6 2" xfId="6841" xr:uid="{00000000-0005-0000-0000-00008D160000}"/>
    <cellStyle name="Normal 4 6 4 6 2 2" xfId="15283" xr:uid="{53611F44-9F9E-44EE-A908-90C35DD46094}"/>
    <cellStyle name="Normal 4 6 4 6 3" xfId="11065" xr:uid="{092259D0-DCA3-4603-BFEF-27143F2FD520}"/>
    <cellStyle name="Normal 4 6 4 7" xfId="4776" xr:uid="{00000000-0005-0000-0000-00008E160000}"/>
    <cellStyle name="Normal 4 6 4 7 2" xfId="13218" xr:uid="{330A63EC-7DAA-4D6D-8335-324FA794D34D}"/>
    <cellStyle name="Normal 4 6 4 8" xfId="9000" xr:uid="{8A0A3999-1EF1-42AD-9C39-CC39FDBA9133}"/>
    <cellStyle name="Normal 4 6 5" xfId="869" xr:uid="{00000000-0005-0000-0000-00008F160000}"/>
    <cellStyle name="Normal 4 6 5 2" xfId="3104" xr:uid="{00000000-0005-0000-0000-000090160000}"/>
    <cellStyle name="Normal 4 6 5 2 2" xfId="7327" xr:uid="{00000000-0005-0000-0000-000091160000}"/>
    <cellStyle name="Normal 4 6 5 2 2 2" xfId="15769" xr:uid="{3F6C78C9-9F42-4E90-81C4-1E3EA86924DC}"/>
    <cellStyle name="Normal 4 6 5 2 3" xfId="11551" xr:uid="{5EEA02A4-A08C-4910-ABB8-74E005C9C156}"/>
    <cellStyle name="Normal 4 6 5 3" xfId="5182" xr:uid="{00000000-0005-0000-0000-000092160000}"/>
    <cellStyle name="Normal 4 6 5 3 2" xfId="13624" xr:uid="{BC5E3D1D-FA61-4625-B52B-0E4ACF9C70BD}"/>
    <cellStyle name="Normal 4 6 5 4" xfId="9406" xr:uid="{551AC20E-78B5-4784-BF7C-F48956531527}"/>
    <cellStyle name="Normal 4 6 6" xfId="1287" xr:uid="{00000000-0005-0000-0000-000093160000}"/>
    <cellStyle name="Normal 4 6 6 2" xfId="3517" xr:uid="{00000000-0005-0000-0000-000094160000}"/>
    <cellStyle name="Normal 4 6 6 2 2" xfId="7740" xr:uid="{00000000-0005-0000-0000-000095160000}"/>
    <cellStyle name="Normal 4 6 6 2 2 2" xfId="16182" xr:uid="{4957DA8D-390E-45BD-B6E4-BD04118770B8}"/>
    <cellStyle name="Normal 4 6 6 2 3" xfId="11964" xr:uid="{C33C1853-6AAD-4039-9E5B-4A8065D38C06}"/>
    <cellStyle name="Normal 4 6 6 3" xfId="5595" xr:uid="{00000000-0005-0000-0000-000096160000}"/>
    <cellStyle name="Normal 4 6 6 3 2" xfId="14037" xr:uid="{644CF0F6-296F-4B12-A9C1-5477FDF32BB5}"/>
    <cellStyle name="Normal 4 6 6 4" xfId="9819" xr:uid="{C7E5184C-2E8C-4B2E-B0A5-91B4E3085C89}"/>
    <cellStyle name="Normal 4 6 7" xfId="1700" xr:uid="{00000000-0005-0000-0000-000097160000}"/>
    <cellStyle name="Normal 4 6 7 2" xfId="3930" xr:uid="{00000000-0005-0000-0000-000098160000}"/>
    <cellStyle name="Normal 4 6 7 2 2" xfId="8153" xr:uid="{00000000-0005-0000-0000-000099160000}"/>
    <cellStyle name="Normal 4 6 7 2 2 2" xfId="16595" xr:uid="{6C4210F8-7798-47A7-877D-1DA804080D5B}"/>
    <cellStyle name="Normal 4 6 7 2 3" xfId="12377" xr:uid="{CC9B3B5B-6287-450B-A76A-47C3094CD534}"/>
    <cellStyle name="Normal 4 6 7 3" xfId="6008" xr:uid="{00000000-0005-0000-0000-00009A160000}"/>
    <cellStyle name="Normal 4 6 7 3 2" xfId="14450" xr:uid="{36D6D8EB-5B5A-44EF-894F-0FC5CE20DAA8}"/>
    <cellStyle name="Normal 4 6 7 4" xfId="10232" xr:uid="{F5AB202C-0F8B-417F-98DE-ABF31DB132B0}"/>
    <cellStyle name="Normal 4 6 8" xfId="2114" xr:uid="{00000000-0005-0000-0000-00009B160000}"/>
    <cellStyle name="Normal 4 6 8 2" xfId="4343" xr:uid="{00000000-0005-0000-0000-00009C160000}"/>
    <cellStyle name="Normal 4 6 8 2 2" xfId="8566" xr:uid="{00000000-0005-0000-0000-00009D160000}"/>
    <cellStyle name="Normal 4 6 8 2 2 2" xfId="17008" xr:uid="{BFADADAE-C521-440C-A155-BCE34C1A7E08}"/>
    <cellStyle name="Normal 4 6 8 2 3" xfId="12790" xr:uid="{99DA788B-0061-4B71-87ED-C5C00A6F646B}"/>
    <cellStyle name="Normal 4 6 8 3" xfId="6421" xr:uid="{00000000-0005-0000-0000-00009E160000}"/>
    <cellStyle name="Normal 4 6 8 3 2" xfId="14863" xr:uid="{346DA32C-58D3-4386-8EC0-A8A141A6DCF5}"/>
    <cellStyle name="Normal 4 6 8 4" xfId="10645" xr:uid="{76821390-4F9F-4E3F-B192-E37C14F2D2E9}"/>
    <cellStyle name="Normal 4 6 9" xfId="2550" xr:uid="{00000000-0005-0000-0000-00009F160000}"/>
    <cellStyle name="Normal 4 6 9 2" xfId="6834" xr:uid="{00000000-0005-0000-0000-0000A0160000}"/>
    <cellStyle name="Normal 4 6 9 2 2" xfId="15276" xr:uid="{791ACBFD-7D32-422B-B6CC-7720370892AC}"/>
    <cellStyle name="Normal 4 6 9 3" xfId="11058" xr:uid="{D4D11526-7B6A-4D36-A3CE-24D5DC9D1C25}"/>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DE0380ED-50D8-4768-9AC4-16BADD3C1C6C}"/>
    <cellStyle name="Normal 4 7 2 2 2 3" xfId="11560" xr:uid="{C2AD7289-9645-48FD-AC48-71E43689F0FD}"/>
    <cellStyle name="Normal 4 7 2 2 3" xfId="5191" xr:uid="{00000000-0005-0000-0000-0000A6160000}"/>
    <cellStyle name="Normal 4 7 2 2 3 2" xfId="13633" xr:uid="{297B5BA0-1478-4E32-BC00-FFE7F240FDED}"/>
    <cellStyle name="Normal 4 7 2 2 4" xfId="9415" xr:uid="{19844642-1A3F-4EEA-A908-DA84EEE65604}"/>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0487CD98-C79B-4795-8F34-91952F238845}"/>
    <cellStyle name="Normal 4 7 2 3 2 3" xfId="11973" xr:uid="{E54417E1-CD1B-4A1D-A10B-97ABBE56FBBA}"/>
    <cellStyle name="Normal 4 7 2 3 3" xfId="5604" xr:uid="{00000000-0005-0000-0000-0000AA160000}"/>
    <cellStyle name="Normal 4 7 2 3 3 2" xfId="14046" xr:uid="{3F7BB0B4-36B2-44FB-B020-DAEA9601EC66}"/>
    <cellStyle name="Normal 4 7 2 3 4" xfId="9828" xr:uid="{43721224-B699-4AB5-A7D2-F3F3ACFF47E0}"/>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4EC52DD4-04E5-47FE-9500-C6095BC9AC11}"/>
    <cellStyle name="Normal 4 7 2 4 2 3" xfId="12386" xr:uid="{AC2D1099-2489-40BC-842B-CCE78BDB55E9}"/>
    <cellStyle name="Normal 4 7 2 4 3" xfId="6017" xr:uid="{00000000-0005-0000-0000-0000AE160000}"/>
    <cellStyle name="Normal 4 7 2 4 3 2" xfId="14459" xr:uid="{403866AB-A6DE-4C4A-9118-02C80794EB32}"/>
    <cellStyle name="Normal 4 7 2 4 4" xfId="10241" xr:uid="{AA851831-CCE9-47AA-AF08-DF8C31DAC65C}"/>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A155EDF7-742B-4FA0-BC33-7228626E0AEF}"/>
    <cellStyle name="Normal 4 7 2 5 2 3" xfId="12799" xr:uid="{A3F68F60-284F-409F-A88D-7BC720CE1410}"/>
    <cellStyle name="Normal 4 7 2 5 3" xfId="6430" xr:uid="{00000000-0005-0000-0000-0000B2160000}"/>
    <cellStyle name="Normal 4 7 2 5 3 2" xfId="14872" xr:uid="{83E80F4D-C37A-4A70-BF34-8C6637D43598}"/>
    <cellStyle name="Normal 4 7 2 5 4" xfId="10654" xr:uid="{0FAC03DB-9A17-4CC2-9011-986BC655847A}"/>
    <cellStyle name="Normal 4 7 2 6" xfId="2559" xr:uid="{00000000-0005-0000-0000-0000B3160000}"/>
    <cellStyle name="Normal 4 7 2 6 2" xfId="6843" xr:uid="{00000000-0005-0000-0000-0000B4160000}"/>
    <cellStyle name="Normal 4 7 2 6 2 2" xfId="15285" xr:uid="{79049FF3-E2C7-47B8-8B3E-76164D069E95}"/>
    <cellStyle name="Normal 4 7 2 6 3" xfId="11067" xr:uid="{D3D7B742-DAB9-4110-86D0-22A7A4444338}"/>
    <cellStyle name="Normal 4 7 2 7" xfId="4778" xr:uid="{00000000-0005-0000-0000-0000B5160000}"/>
    <cellStyle name="Normal 4 7 2 7 2" xfId="13220" xr:uid="{9DAC9DCF-DD32-4DE3-8C9A-13815FE3102B}"/>
    <cellStyle name="Normal 4 7 2 8" xfId="9002" xr:uid="{07BB439B-0567-43B6-88E2-597A8B9B2474}"/>
    <cellStyle name="Normal 4 7 3" xfId="877" xr:uid="{00000000-0005-0000-0000-0000B6160000}"/>
    <cellStyle name="Normal 4 7 3 2" xfId="3112" xr:uid="{00000000-0005-0000-0000-0000B7160000}"/>
    <cellStyle name="Normal 4 7 3 2 2" xfId="7335" xr:uid="{00000000-0005-0000-0000-0000B8160000}"/>
    <cellStyle name="Normal 4 7 3 2 2 2" xfId="15777" xr:uid="{9D18D3DD-194E-4221-9F92-EBB54DE72EB1}"/>
    <cellStyle name="Normal 4 7 3 2 3" xfId="11559" xr:uid="{9B19D354-7CE0-408C-9D3A-0E733A60C322}"/>
    <cellStyle name="Normal 4 7 3 3" xfId="5190" xr:uid="{00000000-0005-0000-0000-0000B9160000}"/>
    <cellStyle name="Normal 4 7 3 3 2" xfId="13632" xr:uid="{F7327895-0FC7-4F82-BABA-BF01A93619D3}"/>
    <cellStyle name="Normal 4 7 3 4" xfId="9414" xr:uid="{023E81D2-8040-4209-8881-6F55A84B825A}"/>
    <cellStyle name="Normal 4 7 4" xfId="1295" xr:uid="{00000000-0005-0000-0000-0000BA160000}"/>
    <cellStyle name="Normal 4 7 4 2" xfId="3525" xr:uid="{00000000-0005-0000-0000-0000BB160000}"/>
    <cellStyle name="Normal 4 7 4 2 2" xfId="7748" xr:uid="{00000000-0005-0000-0000-0000BC160000}"/>
    <cellStyle name="Normal 4 7 4 2 2 2" xfId="16190" xr:uid="{B209BDB5-A236-4125-BA46-2029C4817D60}"/>
    <cellStyle name="Normal 4 7 4 2 3" xfId="11972" xr:uid="{7A04BC49-0AC2-4E15-9DB0-900A40973E7B}"/>
    <cellStyle name="Normal 4 7 4 3" xfId="5603" xr:uid="{00000000-0005-0000-0000-0000BD160000}"/>
    <cellStyle name="Normal 4 7 4 3 2" xfId="14045" xr:uid="{1BE5C732-A78A-409B-93DD-93D60E7C8B54}"/>
    <cellStyle name="Normal 4 7 4 4" xfId="9827" xr:uid="{FE74D641-8330-4950-9C4E-A2E16B4CA00B}"/>
    <cellStyle name="Normal 4 7 5" xfId="1708" xr:uid="{00000000-0005-0000-0000-0000BE160000}"/>
    <cellStyle name="Normal 4 7 5 2" xfId="3938" xr:uid="{00000000-0005-0000-0000-0000BF160000}"/>
    <cellStyle name="Normal 4 7 5 2 2" xfId="8161" xr:uid="{00000000-0005-0000-0000-0000C0160000}"/>
    <cellStyle name="Normal 4 7 5 2 2 2" xfId="16603" xr:uid="{DA5A9D36-F220-426B-A90E-FB4641BDF151}"/>
    <cellStyle name="Normal 4 7 5 2 3" xfId="12385" xr:uid="{02366C3A-B41B-4AB2-BDF6-CB525EEAC223}"/>
    <cellStyle name="Normal 4 7 5 3" xfId="6016" xr:uid="{00000000-0005-0000-0000-0000C1160000}"/>
    <cellStyle name="Normal 4 7 5 3 2" xfId="14458" xr:uid="{F464B983-F0C4-41F3-BECA-E56C70D4D83C}"/>
    <cellStyle name="Normal 4 7 5 4" xfId="10240" xr:uid="{40D13EE7-69A7-425C-B563-133EB515573C}"/>
    <cellStyle name="Normal 4 7 6" xfId="2122" xr:uid="{00000000-0005-0000-0000-0000C2160000}"/>
    <cellStyle name="Normal 4 7 6 2" xfId="4351" xr:uid="{00000000-0005-0000-0000-0000C3160000}"/>
    <cellStyle name="Normal 4 7 6 2 2" xfId="8574" xr:uid="{00000000-0005-0000-0000-0000C4160000}"/>
    <cellStyle name="Normal 4 7 6 2 2 2" xfId="17016" xr:uid="{D2781329-5305-4E73-9053-EFD275F97130}"/>
    <cellStyle name="Normal 4 7 6 2 3" xfId="12798" xr:uid="{7830001E-B9BF-4DCF-8B56-BB72D73136E3}"/>
    <cellStyle name="Normal 4 7 6 3" xfId="6429" xr:uid="{00000000-0005-0000-0000-0000C5160000}"/>
    <cellStyle name="Normal 4 7 6 3 2" xfId="14871" xr:uid="{2CF05732-8E6D-4D62-BA1C-EBF52D072E60}"/>
    <cellStyle name="Normal 4 7 6 4" xfId="10653" xr:uid="{10EF1E68-149A-4C10-90F0-87D078E95AE8}"/>
    <cellStyle name="Normal 4 7 7" xfId="2558" xr:uid="{00000000-0005-0000-0000-0000C6160000}"/>
    <cellStyle name="Normal 4 7 7 2" xfId="6842" xr:uid="{00000000-0005-0000-0000-0000C7160000}"/>
    <cellStyle name="Normal 4 7 7 2 2" xfId="15284" xr:uid="{088B6B14-40C0-471C-A0BB-D70F7F0ADCA4}"/>
    <cellStyle name="Normal 4 7 7 3" xfId="11066" xr:uid="{D096A900-913B-4EF6-B523-884833E9D645}"/>
    <cellStyle name="Normal 4 7 8" xfId="4777" xr:uid="{00000000-0005-0000-0000-0000C8160000}"/>
    <cellStyle name="Normal 4 7 8 2" xfId="13219" xr:uid="{39666125-72F8-40E3-ACC7-F96C16D0DB01}"/>
    <cellStyle name="Normal 4 7 9" xfId="9001" xr:uid="{BF8A6381-543C-4C69-B141-8FD8A4F6B5F3}"/>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336A6376-803D-47C7-80D0-B4DD8E98BDCA}"/>
    <cellStyle name="Normal 4 8 2 2 3" xfId="11561" xr:uid="{73C47954-4C9C-4177-9A43-EC84C197067B}"/>
    <cellStyle name="Normal 4 8 2 3" xfId="5192" xr:uid="{00000000-0005-0000-0000-0000CD160000}"/>
    <cellStyle name="Normal 4 8 2 3 2" xfId="13634" xr:uid="{0C4A310F-717C-4663-92CF-D9D9EB1C751A}"/>
    <cellStyle name="Normal 4 8 2 4" xfId="9416" xr:uid="{86A34ECB-B52D-4DFF-8A2D-80B8385E39ED}"/>
    <cellStyle name="Normal 4 8 3" xfId="1297" xr:uid="{00000000-0005-0000-0000-0000CE160000}"/>
    <cellStyle name="Normal 4 8 3 2" xfId="3527" xr:uid="{00000000-0005-0000-0000-0000CF160000}"/>
    <cellStyle name="Normal 4 8 3 2 2" xfId="7750" xr:uid="{00000000-0005-0000-0000-0000D0160000}"/>
    <cellStyle name="Normal 4 8 3 2 2 2" xfId="16192" xr:uid="{81F831C8-450C-4FC9-BB48-C2AD8BF17BBD}"/>
    <cellStyle name="Normal 4 8 3 2 3" xfId="11974" xr:uid="{237401B6-F115-43BB-9B25-4FEAEB2143CE}"/>
    <cellStyle name="Normal 4 8 3 3" xfId="5605" xr:uid="{00000000-0005-0000-0000-0000D1160000}"/>
    <cellStyle name="Normal 4 8 3 3 2" xfId="14047" xr:uid="{6B00BA6A-EA3B-4C9D-9DBA-4F80E4F4141F}"/>
    <cellStyle name="Normal 4 8 3 4" xfId="9829" xr:uid="{FC7661E6-722D-49B7-990D-023B5EA90BCB}"/>
    <cellStyle name="Normal 4 8 4" xfId="1710" xr:uid="{00000000-0005-0000-0000-0000D2160000}"/>
    <cellStyle name="Normal 4 8 4 2" xfId="3940" xr:uid="{00000000-0005-0000-0000-0000D3160000}"/>
    <cellStyle name="Normal 4 8 4 2 2" xfId="8163" xr:uid="{00000000-0005-0000-0000-0000D4160000}"/>
    <cellStyle name="Normal 4 8 4 2 2 2" xfId="16605" xr:uid="{64E6056D-00BF-4C6E-9EB9-B1FCEA8E8535}"/>
    <cellStyle name="Normal 4 8 4 2 3" xfId="12387" xr:uid="{C0E8A729-B8CE-4449-854C-5D88C2040AAF}"/>
    <cellStyle name="Normal 4 8 4 3" xfId="6018" xr:uid="{00000000-0005-0000-0000-0000D5160000}"/>
    <cellStyle name="Normal 4 8 4 3 2" xfId="14460" xr:uid="{9985E6F9-055C-4124-BF71-B14F2D9D75FA}"/>
    <cellStyle name="Normal 4 8 4 4" xfId="10242" xr:uid="{60BE34C0-D681-4A05-8F8C-6B0E56EE0EEC}"/>
    <cellStyle name="Normal 4 8 5" xfId="2124" xr:uid="{00000000-0005-0000-0000-0000D6160000}"/>
    <cellStyle name="Normal 4 8 5 2" xfId="4353" xr:uid="{00000000-0005-0000-0000-0000D7160000}"/>
    <cellStyle name="Normal 4 8 5 2 2" xfId="8576" xr:uid="{00000000-0005-0000-0000-0000D8160000}"/>
    <cellStyle name="Normal 4 8 5 2 2 2" xfId="17018" xr:uid="{5779C4DB-374A-429D-9628-CB177151585F}"/>
    <cellStyle name="Normal 4 8 5 2 3" xfId="12800" xr:uid="{FFC4952F-94E3-4F88-B4B9-9B56DCF329C5}"/>
    <cellStyle name="Normal 4 8 5 3" xfId="6431" xr:uid="{00000000-0005-0000-0000-0000D9160000}"/>
    <cellStyle name="Normal 4 8 5 3 2" xfId="14873" xr:uid="{D16C1E6D-31C8-4FEE-984B-741A8E2FA13D}"/>
    <cellStyle name="Normal 4 8 5 4" xfId="10655" xr:uid="{94CAC612-8850-40EC-88C4-3BC30DA78EA4}"/>
    <cellStyle name="Normal 4 8 6" xfId="2560" xr:uid="{00000000-0005-0000-0000-0000DA160000}"/>
    <cellStyle name="Normal 4 8 6 2" xfId="6844" xr:uid="{00000000-0005-0000-0000-0000DB160000}"/>
    <cellStyle name="Normal 4 8 6 2 2" xfId="15286" xr:uid="{DE37CB12-2046-41D7-AD89-E9A0ED6EDD5E}"/>
    <cellStyle name="Normal 4 8 6 3" xfId="11068" xr:uid="{3742FCBE-6F05-42BF-B726-D911981F3DED}"/>
    <cellStyle name="Normal 4 8 7" xfId="4779" xr:uid="{00000000-0005-0000-0000-0000DC160000}"/>
    <cellStyle name="Normal 4 8 7 2" xfId="13221" xr:uid="{0B3D7A18-187F-4CBE-981E-9CC5205F4A9C}"/>
    <cellStyle name="Normal 4 8 8" xfId="9003" xr:uid="{C13FE8EF-D277-409F-91D8-2052475A4F08}"/>
    <cellStyle name="Normal 4 9" xfId="4716" xr:uid="{00000000-0005-0000-0000-0000DD160000}"/>
    <cellStyle name="Normal 4 9 2" xfId="13158" xr:uid="{19A15307-D56C-40A7-A76C-565019CF370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67C5E8F-F1BA-4970-9D32-20F365A945D0}"/>
    <cellStyle name="Normal 5 10 2 3" xfId="12388" xr:uid="{3F60067B-5EBC-41CF-8F8E-0B2EFF4A5BCB}"/>
    <cellStyle name="Normal 5 10 3" xfId="6019" xr:uid="{00000000-0005-0000-0000-0000E2160000}"/>
    <cellStyle name="Normal 5 10 3 2" xfId="14461" xr:uid="{0D8034A5-9325-4C80-8FCF-BFAFDD972A25}"/>
    <cellStyle name="Normal 5 10 4" xfId="10243" xr:uid="{871B6561-D961-4632-85BB-23161C08A2B1}"/>
    <cellStyle name="Normal 5 11" xfId="2125" xr:uid="{00000000-0005-0000-0000-0000E3160000}"/>
    <cellStyle name="Normal 5 11 2" xfId="4354" xr:uid="{00000000-0005-0000-0000-0000E4160000}"/>
    <cellStyle name="Normal 5 11 2 2" xfId="8577" xr:uid="{00000000-0005-0000-0000-0000E5160000}"/>
    <cellStyle name="Normal 5 11 2 2 2" xfId="17019" xr:uid="{1F310368-FCC2-4A36-B26F-9D083B6EE66D}"/>
    <cellStyle name="Normal 5 11 2 3" xfId="12801" xr:uid="{73E6A1AF-7584-4CC1-A460-AA0666FA7ED4}"/>
    <cellStyle name="Normal 5 11 3" xfId="6432" xr:uid="{00000000-0005-0000-0000-0000E6160000}"/>
    <cellStyle name="Normal 5 11 3 2" xfId="14874" xr:uid="{2D42943A-D474-4315-B2C9-F8B83623813C}"/>
    <cellStyle name="Normal 5 11 4" xfId="10656" xr:uid="{7838B3BC-6436-40C2-B0EB-D2BDBAB177DE}"/>
    <cellStyle name="Normal 5 12" xfId="2561" xr:uid="{00000000-0005-0000-0000-0000E7160000}"/>
    <cellStyle name="Normal 5 12 2" xfId="6845" xr:uid="{00000000-0005-0000-0000-0000E8160000}"/>
    <cellStyle name="Normal 5 12 2 2" xfId="15287" xr:uid="{19141891-56F9-4919-AE5F-1B5E75A6EF91}"/>
    <cellStyle name="Normal 5 12 3" xfId="11069" xr:uid="{7728FBF0-BEE0-45D4-82E2-5FB7413E4972}"/>
    <cellStyle name="Normal 5 13" xfId="4780" xr:uid="{00000000-0005-0000-0000-0000E9160000}"/>
    <cellStyle name="Normal 5 13 2" xfId="13222" xr:uid="{9AE40763-C523-4899-8E86-54E6DBC691A0}"/>
    <cellStyle name="Normal 5 14" xfId="9004" xr:uid="{51722423-9CA3-4E8C-80FA-30B18A98A3BF}"/>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E8FEFFE7-5735-48E4-97FC-B8BF8F328662}"/>
    <cellStyle name="Normal 5 2 10 2 3" xfId="12802" xr:uid="{2399C369-FCC3-4448-958F-096680BAC21C}"/>
    <cellStyle name="Normal 5 2 10 3" xfId="6433" xr:uid="{00000000-0005-0000-0000-0000EE160000}"/>
    <cellStyle name="Normal 5 2 10 3 2" xfId="14875" xr:uid="{DA054043-6932-48FB-95F0-DED10EDA3303}"/>
    <cellStyle name="Normal 5 2 10 4" xfId="10657" xr:uid="{66E4369B-C2CE-4962-90F9-36EE3BC932FE}"/>
    <cellStyle name="Normal 5 2 11" xfId="2562" xr:uid="{00000000-0005-0000-0000-0000EF160000}"/>
    <cellStyle name="Normal 5 2 11 2" xfId="6846" xr:uid="{00000000-0005-0000-0000-0000F0160000}"/>
    <cellStyle name="Normal 5 2 11 2 2" xfId="15288" xr:uid="{DCA3AD07-8716-4614-BCE2-82A790D87393}"/>
    <cellStyle name="Normal 5 2 11 3" xfId="11070" xr:uid="{B5FF7872-9127-4516-82C2-7C75C3C60C61}"/>
    <cellStyle name="Normal 5 2 12" xfId="4781" xr:uid="{00000000-0005-0000-0000-0000F1160000}"/>
    <cellStyle name="Normal 5 2 12 2" xfId="13223" xr:uid="{B54E6FDD-01E2-4681-A89D-2E55C80D9E2E}"/>
    <cellStyle name="Normal 5 2 13" xfId="9005" xr:uid="{268965DA-7019-4475-9AD7-D241630A39B4}"/>
    <cellStyle name="Normal 5 2 2" xfId="408" xr:uid="{00000000-0005-0000-0000-0000F2160000}"/>
    <cellStyle name="Normal 5 2 2 10" xfId="2563" xr:uid="{00000000-0005-0000-0000-0000F3160000}"/>
    <cellStyle name="Normal 5 2 2 10 2" xfId="6847" xr:uid="{00000000-0005-0000-0000-0000F4160000}"/>
    <cellStyle name="Normal 5 2 2 10 2 2" xfId="15289" xr:uid="{289DCF99-0CC8-40B4-9AE5-993C500117EF}"/>
    <cellStyle name="Normal 5 2 2 10 3" xfId="11071" xr:uid="{B8E7FBC4-3398-4716-91EA-9FABBA4CDC35}"/>
    <cellStyle name="Normal 5 2 2 11" xfId="4782" xr:uid="{00000000-0005-0000-0000-0000F5160000}"/>
    <cellStyle name="Normal 5 2 2 11 2" xfId="13224" xr:uid="{86DE179B-DF0A-4B7B-93D0-CCC37A113813}"/>
    <cellStyle name="Normal 5 2 2 12" xfId="9006" xr:uid="{6F25957F-74C8-42B9-B7AC-6BB9652F1B5A}"/>
    <cellStyle name="Normal 5 2 2 2" xfId="409" xr:uid="{00000000-0005-0000-0000-0000F6160000}"/>
    <cellStyle name="Normal 5 2 2 2 10" xfId="4783" xr:uid="{00000000-0005-0000-0000-0000F7160000}"/>
    <cellStyle name="Normal 5 2 2 2 10 2" xfId="13225" xr:uid="{BCAEEB76-EA75-4C44-BDAF-8836FCB5F3E6}"/>
    <cellStyle name="Normal 5 2 2 2 11" xfId="9007" xr:uid="{198305AD-4978-4D22-A7C5-B176CB135B8F}"/>
    <cellStyle name="Normal 5 2 2 2 2" xfId="410" xr:uid="{00000000-0005-0000-0000-0000F8160000}"/>
    <cellStyle name="Normal 5 2 2 2 2 10" xfId="9008" xr:uid="{32D61CAB-DB1B-4941-8C7F-034F2DC058A8}"/>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E041759A-75A7-4650-B8D3-85698BF9C2FC}"/>
    <cellStyle name="Normal 5 2 2 2 2 2 2 2 2 3" xfId="11568" xr:uid="{8A61AF94-3872-497E-B1C6-68509062EF17}"/>
    <cellStyle name="Normal 5 2 2 2 2 2 2 2 3" xfId="5199" xr:uid="{00000000-0005-0000-0000-0000FE160000}"/>
    <cellStyle name="Normal 5 2 2 2 2 2 2 2 3 2" xfId="13641" xr:uid="{310EF4FE-D375-499D-87DD-AE1A602EDF8E}"/>
    <cellStyle name="Normal 5 2 2 2 2 2 2 2 4" xfId="9423" xr:uid="{433C8051-8A0C-4347-B16B-F984B7774574}"/>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E8CA8055-4BBB-4CDB-B9EA-C4C3D7F43EF3}"/>
    <cellStyle name="Normal 5 2 2 2 2 2 2 3 2 3" xfId="11981" xr:uid="{D337CF4B-F61E-4041-87B2-CD81351DB015}"/>
    <cellStyle name="Normal 5 2 2 2 2 2 2 3 3" xfId="5612" xr:uid="{00000000-0005-0000-0000-000002170000}"/>
    <cellStyle name="Normal 5 2 2 2 2 2 2 3 3 2" xfId="14054" xr:uid="{D999E42B-A677-4BA4-B943-2060A1C090A2}"/>
    <cellStyle name="Normal 5 2 2 2 2 2 2 3 4" xfId="9836" xr:uid="{EF901475-4624-43D2-8456-9C4B9145B413}"/>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1B80DED6-1A59-42AF-B93D-255E4A037869}"/>
    <cellStyle name="Normal 5 2 2 2 2 2 2 4 2 3" xfId="12394" xr:uid="{E5613783-6611-4702-97BE-3EED90A2FFA8}"/>
    <cellStyle name="Normal 5 2 2 2 2 2 2 4 3" xfId="6025" xr:uid="{00000000-0005-0000-0000-000006170000}"/>
    <cellStyle name="Normal 5 2 2 2 2 2 2 4 3 2" xfId="14467" xr:uid="{EB1A5F3E-27D4-480B-AEF6-13692B37F4F0}"/>
    <cellStyle name="Normal 5 2 2 2 2 2 2 4 4" xfId="10249" xr:uid="{0BB6FDE6-B6EA-473F-859F-2247963F1D42}"/>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FF149308-F4AE-441D-BA95-193A4B038D33}"/>
    <cellStyle name="Normal 5 2 2 2 2 2 2 5 2 3" xfId="12807" xr:uid="{CA219144-7C84-40EC-88F3-2EB7570F8612}"/>
    <cellStyle name="Normal 5 2 2 2 2 2 2 5 3" xfId="6438" xr:uid="{00000000-0005-0000-0000-00000A170000}"/>
    <cellStyle name="Normal 5 2 2 2 2 2 2 5 3 2" xfId="14880" xr:uid="{FD02EF84-9C06-4159-AA92-2366AE394174}"/>
    <cellStyle name="Normal 5 2 2 2 2 2 2 5 4" xfId="10662" xr:uid="{1F563338-3716-4823-B086-1AB8DD0970A5}"/>
    <cellStyle name="Normal 5 2 2 2 2 2 2 6" xfId="2567" xr:uid="{00000000-0005-0000-0000-00000B170000}"/>
    <cellStyle name="Normal 5 2 2 2 2 2 2 6 2" xfId="6851" xr:uid="{00000000-0005-0000-0000-00000C170000}"/>
    <cellStyle name="Normal 5 2 2 2 2 2 2 6 2 2" xfId="15293" xr:uid="{FDE8838B-9454-4F11-BFA3-447BB6DA1379}"/>
    <cellStyle name="Normal 5 2 2 2 2 2 2 6 3" xfId="11075" xr:uid="{8D2FC837-E84F-4534-90F7-8041CA8A546B}"/>
    <cellStyle name="Normal 5 2 2 2 2 2 2 7" xfId="4786" xr:uid="{00000000-0005-0000-0000-00000D170000}"/>
    <cellStyle name="Normal 5 2 2 2 2 2 2 7 2" xfId="13228" xr:uid="{594416FE-6DA6-407F-B8FB-1CE60B457CAB}"/>
    <cellStyle name="Normal 5 2 2 2 2 2 2 8" xfId="9010" xr:uid="{A687332E-331A-45EF-9327-7C211679E83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F42BCCD2-48B3-4A23-A79D-3B64570D2127}"/>
    <cellStyle name="Normal 5 2 2 2 2 2 3 2 3" xfId="11567" xr:uid="{E5568A2C-32E3-4457-B628-0213A1BFFF1C}"/>
    <cellStyle name="Normal 5 2 2 2 2 2 3 3" xfId="5198" xr:uid="{00000000-0005-0000-0000-000011170000}"/>
    <cellStyle name="Normal 5 2 2 2 2 2 3 3 2" xfId="13640" xr:uid="{9AE04D86-B24C-4B0F-A564-5838A4F50E38}"/>
    <cellStyle name="Normal 5 2 2 2 2 2 3 4" xfId="9422" xr:uid="{F979F23D-8A37-4A58-BBF1-1CB61422D1F1}"/>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1514F182-2FC5-43F4-8561-3FE2DE20CA64}"/>
    <cellStyle name="Normal 5 2 2 2 2 2 4 2 3" xfId="11980" xr:uid="{99172CE1-4494-4B0B-87B9-0B2EF7FB2910}"/>
    <cellStyle name="Normal 5 2 2 2 2 2 4 3" xfId="5611" xr:uid="{00000000-0005-0000-0000-000015170000}"/>
    <cellStyle name="Normal 5 2 2 2 2 2 4 3 2" xfId="14053" xr:uid="{829D2256-92F8-4CAD-BA24-05C5E6E9E4BE}"/>
    <cellStyle name="Normal 5 2 2 2 2 2 4 4" xfId="9835" xr:uid="{D916C48A-463C-4B28-9363-A8FF8F40CCBD}"/>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1C363C91-A482-4789-A6AC-68E1E257B5A5}"/>
    <cellStyle name="Normal 5 2 2 2 2 2 5 2 3" xfId="12393" xr:uid="{51C43733-395F-471F-81E4-5950BAD1BB38}"/>
    <cellStyle name="Normal 5 2 2 2 2 2 5 3" xfId="6024" xr:uid="{00000000-0005-0000-0000-000019170000}"/>
    <cellStyle name="Normal 5 2 2 2 2 2 5 3 2" xfId="14466" xr:uid="{E84528D4-6EB8-4EBC-BDBC-CC9A6C0C7F21}"/>
    <cellStyle name="Normal 5 2 2 2 2 2 5 4" xfId="10248" xr:uid="{093C4874-8AA7-4EA9-9312-AFDB9E6E3169}"/>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65F91FFC-693C-41B9-BF29-C93A15330F0A}"/>
    <cellStyle name="Normal 5 2 2 2 2 2 6 2 3" xfId="12806" xr:uid="{E87798C6-0BEE-45AA-B2E9-8ED44F8AF1BD}"/>
    <cellStyle name="Normal 5 2 2 2 2 2 6 3" xfId="6437" xr:uid="{00000000-0005-0000-0000-00001D170000}"/>
    <cellStyle name="Normal 5 2 2 2 2 2 6 3 2" xfId="14879" xr:uid="{269B7C87-17CC-4C81-A059-D423BB282F8E}"/>
    <cellStyle name="Normal 5 2 2 2 2 2 6 4" xfId="10661" xr:uid="{57DA810A-27F6-4D0B-868F-4F9FEBFFA2F3}"/>
    <cellStyle name="Normal 5 2 2 2 2 2 7" xfId="2566" xr:uid="{00000000-0005-0000-0000-00001E170000}"/>
    <cellStyle name="Normal 5 2 2 2 2 2 7 2" xfId="6850" xr:uid="{00000000-0005-0000-0000-00001F170000}"/>
    <cellStyle name="Normal 5 2 2 2 2 2 7 2 2" xfId="15292" xr:uid="{980FA998-D9A0-4F31-8362-F2879A693286}"/>
    <cellStyle name="Normal 5 2 2 2 2 2 7 3" xfId="11074" xr:uid="{9B34DF51-63E7-4A62-8A5A-6CE61970FC35}"/>
    <cellStyle name="Normal 5 2 2 2 2 2 8" xfId="4785" xr:uid="{00000000-0005-0000-0000-000020170000}"/>
    <cellStyle name="Normal 5 2 2 2 2 2 8 2" xfId="13227" xr:uid="{C502B426-F47D-4EB2-A9E4-04A11597E10F}"/>
    <cellStyle name="Normal 5 2 2 2 2 2 9" xfId="9009" xr:uid="{AB09DF63-3DF2-4880-A427-29160AEBFE6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6AD005D4-0B6F-42A7-8DAA-E1752191FF5E}"/>
    <cellStyle name="Normal 5 2 2 2 2 3 2 2 3" xfId="11569" xr:uid="{8D0E3838-F81E-432B-AA5B-1521032E0C4D}"/>
    <cellStyle name="Normal 5 2 2 2 2 3 2 3" xfId="5200" xr:uid="{00000000-0005-0000-0000-000025170000}"/>
    <cellStyle name="Normal 5 2 2 2 2 3 2 3 2" xfId="13642" xr:uid="{F48C1EE3-68B8-4356-8AA7-D3604C4E5F2A}"/>
    <cellStyle name="Normal 5 2 2 2 2 3 2 4" xfId="9424" xr:uid="{4C28F80B-EDA6-4902-BFD8-65875B64F097}"/>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73EF7116-1723-4BFC-A844-19F35D275681}"/>
    <cellStyle name="Normal 5 2 2 2 2 3 3 2 3" xfId="11982" xr:uid="{8F0B2DFE-AE99-4EAE-B8EF-3A3F836DFA5A}"/>
    <cellStyle name="Normal 5 2 2 2 2 3 3 3" xfId="5613" xr:uid="{00000000-0005-0000-0000-000029170000}"/>
    <cellStyle name="Normal 5 2 2 2 2 3 3 3 2" xfId="14055" xr:uid="{009D0683-B32F-48B2-98BF-028FC145A60F}"/>
    <cellStyle name="Normal 5 2 2 2 2 3 3 4" xfId="9837" xr:uid="{1FA66D69-03B0-4965-B084-A9C0DE2BA96A}"/>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D4F91A0E-7ECC-4D13-ABED-8423F63DF001}"/>
    <cellStyle name="Normal 5 2 2 2 2 3 4 2 3" xfId="12395" xr:uid="{246E0366-2F1F-44FC-B738-5FF4B9FDCFCC}"/>
    <cellStyle name="Normal 5 2 2 2 2 3 4 3" xfId="6026" xr:uid="{00000000-0005-0000-0000-00002D170000}"/>
    <cellStyle name="Normal 5 2 2 2 2 3 4 3 2" xfId="14468" xr:uid="{BAE85C1E-7757-4138-9F81-19731602D2AC}"/>
    <cellStyle name="Normal 5 2 2 2 2 3 4 4" xfId="10250" xr:uid="{E19288F4-5764-4768-822E-CC1DCB950D3B}"/>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DA142CD0-B683-41BE-9DB4-824C132BAEFC}"/>
    <cellStyle name="Normal 5 2 2 2 2 3 5 2 3" xfId="12808" xr:uid="{8A31832C-F151-438B-B3A9-318AE219B584}"/>
    <cellStyle name="Normal 5 2 2 2 2 3 5 3" xfId="6439" xr:uid="{00000000-0005-0000-0000-000031170000}"/>
    <cellStyle name="Normal 5 2 2 2 2 3 5 3 2" xfId="14881" xr:uid="{1C397FAB-3F7F-4ABD-AE25-2E903A9E5399}"/>
    <cellStyle name="Normal 5 2 2 2 2 3 5 4" xfId="10663" xr:uid="{5416B9A5-3E38-4FF2-958C-B696261C5419}"/>
    <cellStyle name="Normal 5 2 2 2 2 3 6" xfId="2568" xr:uid="{00000000-0005-0000-0000-000032170000}"/>
    <cellStyle name="Normal 5 2 2 2 2 3 6 2" xfId="6852" xr:uid="{00000000-0005-0000-0000-000033170000}"/>
    <cellStyle name="Normal 5 2 2 2 2 3 6 2 2" xfId="15294" xr:uid="{F8987799-F655-44EA-9856-C36D6CB7C93C}"/>
    <cellStyle name="Normal 5 2 2 2 2 3 6 3" xfId="11076" xr:uid="{205315B3-A48F-47CB-B9CA-5C7ED978747E}"/>
    <cellStyle name="Normal 5 2 2 2 2 3 7" xfId="4787" xr:uid="{00000000-0005-0000-0000-000034170000}"/>
    <cellStyle name="Normal 5 2 2 2 2 3 7 2" xfId="13229" xr:uid="{CBBBB512-6C8E-4312-A778-74A741C4CD9E}"/>
    <cellStyle name="Normal 5 2 2 2 2 3 8" xfId="9011" xr:uid="{493AC03C-86CA-4A5E-A678-4A81A2AA8C34}"/>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93B8B80C-89BB-43DC-8C8E-05E725958F90}"/>
    <cellStyle name="Normal 5 2 2 2 2 4 2 3" xfId="11566" xr:uid="{853FA628-5A14-45A0-8363-5586747B5935}"/>
    <cellStyle name="Normal 5 2 2 2 2 4 3" xfId="5197" xr:uid="{00000000-0005-0000-0000-000038170000}"/>
    <cellStyle name="Normal 5 2 2 2 2 4 3 2" xfId="13639" xr:uid="{A3C9A9A7-E933-480C-9BCD-3F25951AC533}"/>
    <cellStyle name="Normal 5 2 2 2 2 4 4" xfId="9421" xr:uid="{0AE31CEB-1E6D-45D5-8D37-13E1F1623307}"/>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46A1DD85-9AD3-40C3-A167-06167F22FED5}"/>
    <cellStyle name="Normal 5 2 2 2 2 5 2 3" xfId="11979" xr:uid="{A124D0E7-39EE-4CD6-B28F-484FEC9D5C74}"/>
    <cellStyle name="Normal 5 2 2 2 2 5 3" xfId="5610" xr:uid="{00000000-0005-0000-0000-00003C170000}"/>
    <cellStyle name="Normal 5 2 2 2 2 5 3 2" xfId="14052" xr:uid="{AC09C216-BCD5-4E1D-B18F-FEF95274681C}"/>
    <cellStyle name="Normal 5 2 2 2 2 5 4" xfId="9834" xr:uid="{60868657-320E-4D14-987F-A628728EB417}"/>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9E86DFAD-5911-400F-B063-E44BCE5BFDF4}"/>
    <cellStyle name="Normal 5 2 2 2 2 6 2 3" xfId="12392" xr:uid="{600A789C-5E8B-4D34-98DA-DBAE12B666BC}"/>
    <cellStyle name="Normal 5 2 2 2 2 6 3" xfId="6023" xr:uid="{00000000-0005-0000-0000-000040170000}"/>
    <cellStyle name="Normal 5 2 2 2 2 6 3 2" xfId="14465" xr:uid="{13DA7C7D-982F-44F2-B769-8B34D0539A00}"/>
    <cellStyle name="Normal 5 2 2 2 2 6 4" xfId="10247" xr:uid="{55F4316B-51D0-4272-816F-07DD2F8467F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A6D70FD9-BD92-4A06-B72E-FA9E1E54C901}"/>
    <cellStyle name="Normal 5 2 2 2 2 7 2 3" xfId="12805" xr:uid="{B57A4643-2DE7-41A1-9A36-4D4E19F0AE33}"/>
    <cellStyle name="Normal 5 2 2 2 2 7 3" xfId="6436" xr:uid="{00000000-0005-0000-0000-000044170000}"/>
    <cellStyle name="Normal 5 2 2 2 2 7 3 2" xfId="14878" xr:uid="{799FD611-047F-4C4F-8B2A-0E3FA323203E}"/>
    <cellStyle name="Normal 5 2 2 2 2 7 4" xfId="10660" xr:uid="{2E4B4860-FFA9-4DC3-9B43-927AE839C198}"/>
    <cellStyle name="Normal 5 2 2 2 2 8" xfId="2565" xr:uid="{00000000-0005-0000-0000-000045170000}"/>
    <cellStyle name="Normal 5 2 2 2 2 8 2" xfId="6849" xr:uid="{00000000-0005-0000-0000-000046170000}"/>
    <cellStyle name="Normal 5 2 2 2 2 8 2 2" xfId="15291" xr:uid="{D8B89081-0022-4E7E-A39A-A9D3E00854FD}"/>
    <cellStyle name="Normal 5 2 2 2 2 8 3" xfId="11073" xr:uid="{E38BEE3F-BD90-4D62-B66F-4BA11B42196D}"/>
    <cellStyle name="Normal 5 2 2 2 2 9" xfId="4784" xr:uid="{00000000-0005-0000-0000-000047170000}"/>
    <cellStyle name="Normal 5 2 2 2 2 9 2" xfId="13226" xr:uid="{43F822FF-D3EF-4913-A64E-2B9E85A6701A}"/>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8BCA1A53-B20F-4E55-9260-6E5D448A795E}"/>
    <cellStyle name="Normal 5 2 2 2 3 2 2 2 3" xfId="11571" xr:uid="{8864EC8F-D5B7-4B8F-B657-A89AFD937ADB}"/>
    <cellStyle name="Normal 5 2 2 2 3 2 2 3" xfId="5202" xr:uid="{00000000-0005-0000-0000-00004D170000}"/>
    <cellStyle name="Normal 5 2 2 2 3 2 2 3 2" xfId="13644" xr:uid="{2FACE211-E8F0-411E-B0E7-EE19FEEC9244}"/>
    <cellStyle name="Normal 5 2 2 2 3 2 2 4" xfId="9426" xr:uid="{3CF0402B-DD40-4AF9-BB3B-5F3443E4B3A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B102274F-D8EE-4B1E-927B-79713BE407A2}"/>
    <cellStyle name="Normal 5 2 2 2 3 2 3 2 3" xfId="11984" xr:uid="{7B972FD8-F0FD-43F7-B396-82455DCD208B}"/>
    <cellStyle name="Normal 5 2 2 2 3 2 3 3" xfId="5615" xr:uid="{00000000-0005-0000-0000-000051170000}"/>
    <cellStyle name="Normal 5 2 2 2 3 2 3 3 2" xfId="14057" xr:uid="{3A41F034-ACA5-4FAC-84D3-B171A98BB810}"/>
    <cellStyle name="Normal 5 2 2 2 3 2 3 4" xfId="9839" xr:uid="{B218341C-01B2-441C-9FF1-0BD54078C7DD}"/>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85F89C55-39A0-4638-AB60-31726ED1C561}"/>
    <cellStyle name="Normal 5 2 2 2 3 2 4 2 3" xfId="12397" xr:uid="{61B7B4E8-4645-4D06-8834-E81D6B5B35EA}"/>
    <cellStyle name="Normal 5 2 2 2 3 2 4 3" xfId="6028" xr:uid="{00000000-0005-0000-0000-000055170000}"/>
    <cellStyle name="Normal 5 2 2 2 3 2 4 3 2" xfId="14470" xr:uid="{42DF2BDE-7CFF-4F2B-BF92-AA70B1C8226B}"/>
    <cellStyle name="Normal 5 2 2 2 3 2 4 4" xfId="10252" xr:uid="{369B818E-9DCA-497D-974B-FD23E058579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9F3DFAB-E76F-4EB5-95A1-CF1D9A281C2B}"/>
    <cellStyle name="Normal 5 2 2 2 3 2 5 2 3" xfId="12810" xr:uid="{C38AFA47-4F42-4648-9F15-9CE259D25B91}"/>
    <cellStyle name="Normal 5 2 2 2 3 2 5 3" xfId="6441" xr:uid="{00000000-0005-0000-0000-000059170000}"/>
    <cellStyle name="Normal 5 2 2 2 3 2 5 3 2" xfId="14883" xr:uid="{7DE32D44-3315-4E10-BB5E-1197C8F975C7}"/>
    <cellStyle name="Normal 5 2 2 2 3 2 5 4" xfId="10665" xr:uid="{073FB234-A9B6-4F4B-9CBA-E1AF1FF47AB8}"/>
    <cellStyle name="Normal 5 2 2 2 3 2 6" xfId="2570" xr:uid="{00000000-0005-0000-0000-00005A170000}"/>
    <cellStyle name="Normal 5 2 2 2 3 2 6 2" xfId="6854" xr:uid="{00000000-0005-0000-0000-00005B170000}"/>
    <cellStyle name="Normal 5 2 2 2 3 2 6 2 2" xfId="15296" xr:uid="{0B09468E-569C-48DB-A29D-D728D0035C1F}"/>
    <cellStyle name="Normal 5 2 2 2 3 2 6 3" xfId="11078" xr:uid="{45EBC261-EAE5-4C73-896E-55F393D5F981}"/>
    <cellStyle name="Normal 5 2 2 2 3 2 7" xfId="4789" xr:uid="{00000000-0005-0000-0000-00005C170000}"/>
    <cellStyle name="Normal 5 2 2 2 3 2 7 2" xfId="13231" xr:uid="{17CC227F-A247-4560-A79D-20A5E1A365EF}"/>
    <cellStyle name="Normal 5 2 2 2 3 2 8" xfId="9013" xr:uid="{43D734F5-E69D-47D8-9F7D-A08B8148EED9}"/>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BC4A03D9-17F7-40ED-B200-FB0720DDD27D}"/>
    <cellStyle name="Normal 5 2 2 2 3 3 2 3" xfId="11570" xr:uid="{91AE3F24-A6A5-45F1-9BCE-173A764DA098}"/>
    <cellStyle name="Normal 5 2 2 2 3 3 3" xfId="5201" xr:uid="{00000000-0005-0000-0000-000060170000}"/>
    <cellStyle name="Normal 5 2 2 2 3 3 3 2" xfId="13643" xr:uid="{643E5FF5-F203-4A14-930A-951D34D59EF5}"/>
    <cellStyle name="Normal 5 2 2 2 3 3 4" xfId="9425" xr:uid="{853D3B37-1150-47E9-ACB6-74B4C2E061E9}"/>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17BF3345-EFFB-4960-80E9-ECCFFB0730FA}"/>
    <cellStyle name="Normal 5 2 2 2 3 4 2 3" xfId="11983" xr:uid="{DEFB5F8B-4B5A-4B52-B62E-97F2BA7100F4}"/>
    <cellStyle name="Normal 5 2 2 2 3 4 3" xfId="5614" xr:uid="{00000000-0005-0000-0000-000064170000}"/>
    <cellStyle name="Normal 5 2 2 2 3 4 3 2" xfId="14056" xr:uid="{75CD0FA8-DF45-4E62-8BA7-C6457D1AC371}"/>
    <cellStyle name="Normal 5 2 2 2 3 4 4" xfId="9838" xr:uid="{C15E6A0D-8A61-487E-9E38-B64615DE06C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F8235795-4858-485C-B692-25461F2CC859}"/>
    <cellStyle name="Normal 5 2 2 2 3 5 2 3" xfId="12396" xr:uid="{9761D749-B892-4150-B2FD-6C1CF7F06222}"/>
    <cellStyle name="Normal 5 2 2 2 3 5 3" xfId="6027" xr:uid="{00000000-0005-0000-0000-000068170000}"/>
    <cellStyle name="Normal 5 2 2 2 3 5 3 2" xfId="14469" xr:uid="{B0AF8355-7E0D-40BF-967D-7291A8698245}"/>
    <cellStyle name="Normal 5 2 2 2 3 5 4" xfId="10251" xr:uid="{F7BF38AB-73CE-4634-A766-099099D83F68}"/>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B4D9747A-0203-4B88-A5CC-8A37B02C798E}"/>
    <cellStyle name="Normal 5 2 2 2 3 6 2 3" xfId="12809" xr:uid="{BC3755FA-657E-4C73-9AA0-978A9D798830}"/>
    <cellStyle name="Normal 5 2 2 2 3 6 3" xfId="6440" xr:uid="{00000000-0005-0000-0000-00006C170000}"/>
    <cellStyle name="Normal 5 2 2 2 3 6 3 2" xfId="14882" xr:uid="{B78D13A4-BD74-42F1-B2AD-59160164C7A3}"/>
    <cellStyle name="Normal 5 2 2 2 3 6 4" xfId="10664" xr:uid="{19F7AE0B-A16E-45F8-9B71-191EA487A498}"/>
    <cellStyle name="Normal 5 2 2 2 3 7" xfId="2569" xr:uid="{00000000-0005-0000-0000-00006D170000}"/>
    <cellStyle name="Normal 5 2 2 2 3 7 2" xfId="6853" xr:uid="{00000000-0005-0000-0000-00006E170000}"/>
    <cellStyle name="Normal 5 2 2 2 3 7 2 2" xfId="15295" xr:uid="{FE943AA1-AB2B-4B94-BFA3-E8045AA5D6F2}"/>
    <cellStyle name="Normal 5 2 2 2 3 7 3" xfId="11077" xr:uid="{22FC9AC5-4CC7-4F30-8448-3118505A07FF}"/>
    <cellStyle name="Normal 5 2 2 2 3 8" xfId="4788" xr:uid="{00000000-0005-0000-0000-00006F170000}"/>
    <cellStyle name="Normal 5 2 2 2 3 8 2" xfId="13230" xr:uid="{E725EDBB-836B-4F85-8B90-ED76F6C268DA}"/>
    <cellStyle name="Normal 5 2 2 2 3 9" xfId="9012" xr:uid="{E31C676E-0FE6-4000-B630-C5FE3570E404}"/>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F2260DD4-5351-4DBF-9A7D-3C3A529811AA}"/>
    <cellStyle name="Normal 5 2 2 2 4 2 2 3" xfId="11572" xr:uid="{3F5BE957-702C-4A0C-9A5E-DCF21691BFD3}"/>
    <cellStyle name="Normal 5 2 2 2 4 2 3" xfId="5203" xr:uid="{00000000-0005-0000-0000-000074170000}"/>
    <cellStyle name="Normal 5 2 2 2 4 2 3 2" xfId="13645" xr:uid="{6AA73DA6-A9A1-4F04-925C-FABDA90A2770}"/>
    <cellStyle name="Normal 5 2 2 2 4 2 4" xfId="9427" xr:uid="{71A91C62-8AE3-4545-B823-7AF29EECFC33}"/>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B7D56EC3-DDC2-402B-8E99-41D333F6EBD2}"/>
    <cellStyle name="Normal 5 2 2 2 4 3 2 3" xfId="11985" xr:uid="{C087B7C0-5646-4AE7-9F44-D766BD96B3C8}"/>
    <cellStyle name="Normal 5 2 2 2 4 3 3" xfId="5616" xr:uid="{00000000-0005-0000-0000-000078170000}"/>
    <cellStyle name="Normal 5 2 2 2 4 3 3 2" xfId="14058" xr:uid="{8531C46A-0140-405C-BC78-CE68579686D3}"/>
    <cellStyle name="Normal 5 2 2 2 4 3 4" xfId="9840" xr:uid="{724BCCE3-796F-4CB4-8D69-8CD06FBD33C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E6C155E7-90FB-4B25-A7B7-DD5D242EFEBF}"/>
    <cellStyle name="Normal 5 2 2 2 4 4 2 3" xfId="12398" xr:uid="{1608FDCF-54B4-419B-B16E-C9825C09CCD8}"/>
    <cellStyle name="Normal 5 2 2 2 4 4 3" xfId="6029" xr:uid="{00000000-0005-0000-0000-00007C170000}"/>
    <cellStyle name="Normal 5 2 2 2 4 4 3 2" xfId="14471" xr:uid="{8297F7C2-C5FF-4AA3-9294-60B5BC33F3AB}"/>
    <cellStyle name="Normal 5 2 2 2 4 4 4" xfId="10253" xr:uid="{11E00AB5-4B3B-4B55-AFBC-4E5D0B9ED7B5}"/>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8435B3F1-D4CC-4B94-BB9A-10659F044731}"/>
    <cellStyle name="Normal 5 2 2 2 4 5 2 3" xfId="12811" xr:uid="{D2BC50BB-F389-4622-B1C9-A6D4C1E17262}"/>
    <cellStyle name="Normal 5 2 2 2 4 5 3" xfId="6442" xr:uid="{00000000-0005-0000-0000-000080170000}"/>
    <cellStyle name="Normal 5 2 2 2 4 5 3 2" xfId="14884" xr:uid="{2D7FB904-263E-4B87-980D-0B666E0F7611}"/>
    <cellStyle name="Normal 5 2 2 2 4 5 4" xfId="10666" xr:uid="{BEE6CA9D-5532-49DB-A309-7FBC96843D49}"/>
    <cellStyle name="Normal 5 2 2 2 4 6" xfId="2571" xr:uid="{00000000-0005-0000-0000-000081170000}"/>
    <cellStyle name="Normal 5 2 2 2 4 6 2" xfId="6855" xr:uid="{00000000-0005-0000-0000-000082170000}"/>
    <cellStyle name="Normal 5 2 2 2 4 6 2 2" xfId="15297" xr:uid="{876AF3C6-A33D-4583-8AD1-258B4D373687}"/>
    <cellStyle name="Normal 5 2 2 2 4 6 3" xfId="11079" xr:uid="{5C6ED5BB-8013-421B-9557-24F6FAB8A897}"/>
    <cellStyle name="Normal 5 2 2 2 4 7" xfId="4790" xr:uid="{00000000-0005-0000-0000-000083170000}"/>
    <cellStyle name="Normal 5 2 2 2 4 7 2" xfId="13232" xr:uid="{5F9DDB22-B224-4BA7-AF71-46F92892419E}"/>
    <cellStyle name="Normal 5 2 2 2 4 8" xfId="9014" xr:uid="{60D0CC60-F56C-43C5-B085-A5E3196585E8}"/>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9303CCDF-7CCD-4556-81D9-5321807FA62D}"/>
    <cellStyle name="Normal 5 2 2 2 5 2 3" xfId="11565" xr:uid="{579213C5-DA79-4541-BB2B-15C254D015FD}"/>
    <cellStyle name="Normal 5 2 2 2 5 3" xfId="5196" xr:uid="{00000000-0005-0000-0000-000087170000}"/>
    <cellStyle name="Normal 5 2 2 2 5 3 2" xfId="13638" xr:uid="{B57D5E86-363F-4C4C-9C31-B55814E5E48A}"/>
    <cellStyle name="Normal 5 2 2 2 5 4" xfId="9420" xr:uid="{57FF7D49-CD4B-4EF5-8BD1-1C8AFB99C0D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E229CB56-E6A7-4E20-9696-E86B476DA556}"/>
    <cellStyle name="Normal 5 2 2 2 6 2 3" xfId="11978" xr:uid="{7A0A681C-84CF-4E31-8B25-2941F5FBA08C}"/>
    <cellStyle name="Normal 5 2 2 2 6 3" xfId="5609" xr:uid="{00000000-0005-0000-0000-00008B170000}"/>
    <cellStyle name="Normal 5 2 2 2 6 3 2" xfId="14051" xr:uid="{5749F663-3707-4344-8F64-EB169432F722}"/>
    <cellStyle name="Normal 5 2 2 2 6 4" xfId="9833" xr:uid="{860339E4-FF1F-4607-A779-34A4EC086F8D}"/>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0B590249-F241-4339-8589-9119F1EB2B34}"/>
    <cellStyle name="Normal 5 2 2 2 7 2 3" xfId="12391" xr:uid="{440215C2-F2CF-49DD-909C-5250C1B3C779}"/>
    <cellStyle name="Normal 5 2 2 2 7 3" xfId="6022" xr:uid="{00000000-0005-0000-0000-00008F170000}"/>
    <cellStyle name="Normal 5 2 2 2 7 3 2" xfId="14464" xr:uid="{9A9BE907-8C6D-4895-B515-83FD2BEB9645}"/>
    <cellStyle name="Normal 5 2 2 2 7 4" xfId="10246" xr:uid="{642AC01B-12E8-426E-906B-08342CDD1078}"/>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CF0949D5-F6E4-4686-B9AC-4E5B9A3BF3C3}"/>
    <cellStyle name="Normal 5 2 2 2 8 2 3" xfId="12804" xr:uid="{A4A19BF3-560E-4B34-A1E2-F95E66B8A4E4}"/>
    <cellStyle name="Normal 5 2 2 2 8 3" xfId="6435" xr:uid="{00000000-0005-0000-0000-000093170000}"/>
    <cellStyle name="Normal 5 2 2 2 8 3 2" xfId="14877" xr:uid="{81327FF2-FBB6-4130-A106-D0F07EB98532}"/>
    <cellStyle name="Normal 5 2 2 2 8 4" xfId="10659" xr:uid="{256CDDB6-2D34-4240-BBBF-8B2F4C547A96}"/>
    <cellStyle name="Normal 5 2 2 2 9" xfId="2564" xr:uid="{00000000-0005-0000-0000-000094170000}"/>
    <cellStyle name="Normal 5 2 2 2 9 2" xfId="6848" xr:uid="{00000000-0005-0000-0000-000095170000}"/>
    <cellStyle name="Normal 5 2 2 2 9 2 2" xfId="15290" xr:uid="{7B3BB04B-FB26-4578-99A5-6BE9EC17E572}"/>
    <cellStyle name="Normal 5 2 2 2 9 3" xfId="11072" xr:uid="{E6776565-1701-42EE-8C03-59DD0F4D4524}"/>
    <cellStyle name="Normal 5 2 2 3" xfId="417" xr:uid="{00000000-0005-0000-0000-000096170000}"/>
    <cellStyle name="Normal 5 2 2 3 10" xfId="9015" xr:uid="{E563B724-27FF-4CE3-BBA0-D56B3E51B1F9}"/>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E9E89E38-D11E-4A1A-AEAE-E06DB82F3278}"/>
    <cellStyle name="Normal 5 2 2 3 2 2 2 2 3" xfId="11575" xr:uid="{1717164A-CEDA-4DA3-B504-7E69C1633E89}"/>
    <cellStyle name="Normal 5 2 2 3 2 2 2 3" xfId="5206" xr:uid="{00000000-0005-0000-0000-00009C170000}"/>
    <cellStyle name="Normal 5 2 2 3 2 2 2 3 2" xfId="13648" xr:uid="{25CC55A9-864D-4429-9394-234070758EA5}"/>
    <cellStyle name="Normal 5 2 2 3 2 2 2 4" xfId="9430" xr:uid="{FF633A79-7102-4B43-8393-E2D947E85A3D}"/>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FD665E87-1A38-4F27-BE08-504774C24054}"/>
    <cellStyle name="Normal 5 2 2 3 2 2 3 2 3" xfId="11988" xr:uid="{275F7FF0-8C44-409D-8684-0465BBAF6643}"/>
    <cellStyle name="Normal 5 2 2 3 2 2 3 3" xfId="5619" xr:uid="{00000000-0005-0000-0000-0000A0170000}"/>
    <cellStyle name="Normal 5 2 2 3 2 2 3 3 2" xfId="14061" xr:uid="{3AECDDE7-F28B-48AE-9F43-3A896B256264}"/>
    <cellStyle name="Normal 5 2 2 3 2 2 3 4" xfId="9843" xr:uid="{3D169085-ABCE-4B96-AB4A-119FFB13BBC1}"/>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9786F3F4-BDF8-46E4-8C91-40F8A8512972}"/>
    <cellStyle name="Normal 5 2 2 3 2 2 4 2 3" xfId="12401" xr:uid="{F5A99E47-F94C-44C8-AADA-F05328B235F0}"/>
    <cellStyle name="Normal 5 2 2 3 2 2 4 3" xfId="6032" xr:uid="{00000000-0005-0000-0000-0000A4170000}"/>
    <cellStyle name="Normal 5 2 2 3 2 2 4 3 2" xfId="14474" xr:uid="{9D46E0E6-C27A-4724-9910-59E52E0021AB}"/>
    <cellStyle name="Normal 5 2 2 3 2 2 4 4" xfId="10256" xr:uid="{D8D553B8-2A06-45E4-B04A-7C5E44E91377}"/>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BC5608B9-020C-4873-BC69-BDEA66364E6E}"/>
    <cellStyle name="Normal 5 2 2 3 2 2 5 2 3" xfId="12814" xr:uid="{3BD7BEBE-46D2-49E9-A619-4B20AFE28B5B}"/>
    <cellStyle name="Normal 5 2 2 3 2 2 5 3" xfId="6445" xr:uid="{00000000-0005-0000-0000-0000A8170000}"/>
    <cellStyle name="Normal 5 2 2 3 2 2 5 3 2" xfId="14887" xr:uid="{37731A14-ADC3-45AD-B5F1-42EB932818B4}"/>
    <cellStyle name="Normal 5 2 2 3 2 2 5 4" xfId="10669" xr:uid="{31299069-9389-4529-931B-90CB55E0A652}"/>
    <cellStyle name="Normal 5 2 2 3 2 2 6" xfId="2574" xr:uid="{00000000-0005-0000-0000-0000A9170000}"/>
    <cellStyle name="Normal 5 2 2 3 2 2 6 2" xfId="6858" xr:uid="{00000000-0005-0000-0000-0000AA170000}"/>
    <cellStyle name="Normal 5 2 2 3 2 2 6 2 2" xfId="15300" xr:uid="{EE5F4901-31B4-4F30-B979-E01A047D2927}"/>
    <cellStyle name="Normal 5 2 2 3 2 2 6 3" xfId="11082" xr:uid="{C6114501-2404-4A5C-92CA-1D50D76010D8}"/>
    <cellStyle name="Normal 5 2 2 3 2 2 7" xfId="4793" xr:uid="{00000000-0005-0000-0000-0000AB170000}"/>
    <cellStyle name="Normal 5 2 2 3 2 2 7 2" xfId="13235" xr:uid="{DB2A948A-AA80-46A3-9FE6-8FB28CA0845A}"/>
    <cellStyle name="Normal 5 2 2 3 2 2 8" xfId="9017" xr:uid="{5BB6C10A-94EF-491C-B3F4-DCA6A1D40B98}"/>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CFD6ADFE-B66E-4143-982D-B9FD51C64B6C}"/>
    <cellStyle name="Normal 5 2 2 3 2 3 2 3" xfId="11574" xr:uid="{A3FC6DBE-BD2F-4457-9A52-7F5F65514509}"/>
    <cellStyle name="Normal 5 2 2 3 2 3 3" xfId="5205" xr:uid="{00000000-0005-0000-0000-0000AF170000}"/>
    <cellStyle name="Normal 5 2 2 3 2 3 3 2" xfId="13647" xr:uid="{6DFA04AA-0283-4988-8C9B-6F04DB8FAAB4}"/>
    <cellStyle name="Normal 5 2 2 3 2 3 4" xfId="9429" xr:uid="{BECE5CC0-E6EA-4B2C-BBF7-066ED7D378C9}"/>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F83EEBDC-C582-4468-9F5A-93A07B824275}"/>
    <cellStyle name="Normal 5 2 2 3 2 4 2 3" xfId="11987" xr:uid="{3E0AB598-5C5A-468D-AAEF-F99F429ADDDA}"/>
    <cellStyle name="Normal 5 2 2 3 2 4 3" xfId="5618" xr:uid="{00000000-0005-0000-0000-0000B3170000}"/>
    <cellStyle name="Normal 5 2 2 3 2 4 3 2" xfId="14060" xr:uid="{74284263-D6BF-4482-92AC-12A1B10B811F}"/>
    <cellStyle name="Normal 5 2 2 3 2 4 4" xfId="9842" xr:uid="{104A1F62-311F-4C5E-B0A2-3E5268DA0363}"/>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A570A18B-C0FD-48A1-BC0A-8C83A65CC611}"/>
    <cellStyle name="Normal 5 2 2 3 2 5 2 3" xfId="12400" xr:uid="{FB01A9E4-5221-434C-8F2C-57D2394ACA7B}"/>
    <cellStyle name="Normal 5 2 2 3 2 5 3" xfId="6031" xr:uid="{00000000-0005-0000-0000-0000B7170000}"/>
    <cellStyle name="Normal 5 2 2 3 2 5 3 2" xfId="14473" xr:uid="{5BCF9A17-59DC-49D3-B6A3-E75F1D3EAC8B}"/>
    <cellStyle name="Normal 5 2 2 3 2 5 4" xfId="10255" xr:uid="{4B8AD2B8-F972-4AD2-9807-F73E4A313E86}"/>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60FDF005-27F6-4445-A467-03B03C2486D7}"/>
    <cellStyle name="Normal 5 2 2 3 2 6 2 3" xfId="12813" xr:uid="{8AB6C0FC-2530-491B-BEA0-9EE9A923E574}"/>
    <cellStyle name="Normal 5 2 2 3 2 6 3" xfId="6444" xr:uid="{00000000-0005-0000-0000-0000BB170000}"/>
    <cellStyle name="Normal 5 2 2 3 2 6 3 2" xfId="14886" xr:uid="{E3B7A828-5D3F-4476-AD59-8755F9CE1939}"/>
    <cellStyle name="Normal 5 2 2 3 2 6 4" xfId="10668" xr:uid="{E3431DE3-B3AA-4AF7-A691-49B9A9506CCD}"/>
    <cellStyle name="Normal 5 2 2 3 2 7" xfId="2573" xr:uid="{00000000-0005-0000-0000-0000BC170000}"/>
    <cellStyle name="Normal 5 2 2 3 2 7 2" xfId="6857" xr:uid="{00000000-0005-0000-0000-0000BD170000}"/>
    <cellStyle name="Normal 5 2 2 3 2 7 2 2" xfId="15299" xr:uid="{7C0D9C23-2659-4883-9A87-743FE7A9FBFD}"/>
    <cellStyle name="Normal 5 2 2 3 2 7 3" xfId="11081" xr:uid="{E35226BF-D1AF-400E-9459-E4A92036D9AD}"/>
    <cellStyle name="Normal 5 2 2 3 2 8" xfId="4792" xr:uid="{00000000-0005-0000-0000-0000BE170000}"/>
    <cellStyle name="Normal 5 2 2 3 2 8 2" xfId="13234" xr:uid="{AF7138CB-B411-4548-8092-F62D4438934A}"/>
    <cellStyle name="Normal 5 2 2 3 2 9" xfId="9016" xr:uid="{BCB56641-40C9-4BE3-8B1D-AD8BFE79E1D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69AC0DB6-F56F-4143-B1AC-43D0EF8A9AB2}"/>
    <cellStyle name="Normal 5 2 2 3 3 2 2 3" xfId="11576" xr:uid="{C2EF8E83-A1F2-4440-A8EE-03746F7597C2}"/>
    <cellStyle name="Normal 5 2 2 3 3 2 3" xfId="5207" xr:uid="{00000000-0005-0000-0000-0000C3170000}"/>
    <cellStyle name="Normal 5 2 2 3 3 2 3 2" xfId="13649" xr:uid="{A99FF466-6FDF-44E3-B067-D2B9DF3BE308}"/>
    <cellStyle name="Normal 5 2 2 3 3 2 4" xfId="9431" xr:uid="{F67236B0-0E62-4B4E-840D-214DC70BCA64}"/>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EBC8B558-084D-4FF7-BBEA-A6E41753AFE8}"/>
    <cellStyle name="Normal 5 2 2 3 3 3 2 3" xfId="11989" xr:uid="{9EFFAF1A-BDED-47D8-8EE6-01E5A5A8CB72}"/>
    <cellStyle name="Normal 5 2 2 3 3 3 3" xfId="5620" xr:uid="{00000000-0005-0000-0000-0000C7170000}"/>
    <cellStyle name="Normal 5 2 2 3 3 3 3 2" xfId="14062" xr:uid="{5B49FCB4-C65F-43F3-A991-B812F0231CBA}"/>
    <cellStyle name="Normal 5 2 2 3 3 3 4" xfId="9844" xr:uid="{922D5EEA-3B97-40E4-A642-6207B5D58327}"/>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D7B11858-1422-4CA2-8C3E-85540C98387D}"/>
    <cellStyle name="Normal 5 2 2 3 3 4 2 3" xfId="12402" xr:uid="{E27220A9-CC39-4DA2-A85D-E879DC9D4A7E}"/>
    <cellStyle name="Normal 5 2 2 3 3 4 3" xfId="6033" xr:uid="{00000000-0005-0000-0000-0000CB170000}"/>
    <cellStyle name="Normal 5 2 2 3 3 4 3 2" xfId="14475" xr:uid="{918F30B1-56F4-4D8B-9922-F2F93938A35D}"/>
    <cellStyle name="Normal 5 2 2 3 3 4 4" xfId="10257" xr:uid="{6DC3612B-36C8-4E5F-8D0F-660485B2B71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BF20EB6A-67F0-4980-A3A5-6EE2E5B70482}"/>
    <cellStyle name="Normal 5 2 2 3 3 5 2 3" xfId="12815" xr:uid="{BBDB3013-A2F9-4CAE-8A06-6F405CFCE4B1}"/>
    <cellStyle name="Normal 5 2 2 3 3 5 3" xfId="6446" xr:uid="{00000000-0005-0000-0000-0000CF170000}"/>
    <cellStyle name="Normal 5 2 2 3 3 5 3 2" xfId="14888" xr:uid="{869F9671-51E6-4E6F-9415-E2B934DB654D}"/>
    <cellStyle name="Normal 5 2 2 3 3 5 4" xfId="10670" xr:uid="{C805A2E2-9308-421D-9B5D-8679F4CAB7A8}"/>
    <cellStyle name="Normal 5 2 2 3 3 6" xfId="2575" xr:uid="{00000000-0005-0000-0000-0000D0170000}"/>
    <cellStyle name="Normal 5 2 2 3 3 6 2" xfId="6859" xr:uid="{00000000-0005-0000-0000-0000D1170000}"/>
    <cellStyle name="Normal 5 2 2 3 3 6 2 2" xfId="15301" xr:uid="{57E958F6-FC93-463B-B150-9FFD0D3DDA3D}"/>
    <cellStyle name="Normal 5 2 2 3 3 6 3" xfId="11083" xr:uid="{1BE9EE98-CC1E-4DDA-9918-15A6EE20221E}"/>
    <cellStyle name="Normal 5 2 2 3 3 7" xfId="4794" xr:uid="{00000000-0005-0000-0000-0000D2170000}"/>
    <cellStyle name="Normal 5 2 2 3 3 7 2" xfId="13236" xr:uid="{59ED109F-65B7-4BDE-8AA7-86159A720228}"/>
    <cellStyle name="Normal 5 2 2 3 3 8" xfId="9018" xr:uid="{7AA51117-688F-43F7-9EA9-EA44423B52B5}"/>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E720F7D9-FE4D-4278-B650-A34E604B0F3B}"/>
    <cellStyle name="Normal 5 2 2 3 4 2 3" xfId="11573" xr:uid="{9CD8EC0C-A880-4397-B626-D9A3BC957CEC}"/>
    <cellStyle name="Normal 5 2 2 3 4 3" xfId="5204" xr:uid="{00000000-0005-0000-0000-0000D6170000}"/>
    <cellStyle name="Normal 5 2 2 3 4 3 2" xfId="13646" xr:uid="{21940A7D-C9CF-4162-AE3F-FD019B494274}"/>
    <cellStyle name="Normal 5 2 2 3 4 4" xfId="9428" xr:uid="{55D8EA43-D3D9-44D2-B877-4C94DBE6FE17}"/>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FD1D38FE-B183-4E07-9FCC-7356C26B8A54}"/>
    <cellStyle name="Normal 5 2 2 3 5 2 3" xfId="11986" xr:uid="{D3349492-2E76-4732-9082-8B4EF6F83839}"/>
    <cellStyle name="Normal 5 2 2 3 5 3" xfId="5617" xr:uid="{00000000-0005-0000-0000-0000DA170000}"/>
    <cellStyle name="Normal 5 2 2 3 5 3 2" xfId="14059" xr:uid="{E771FBB5-0AC2-45EB-9A1A-409F177FCCFF}"/>
    <cellStyle name="Normal 5 2 2 3 5 4" xfId="9841" xr:uid="{D9D1C0E7-97E9-4774-8640-D39E685E42A1}"/>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5E4C7048-85D7-4989-A5F1-15E309028D02}"/>
    <cellStyle name="Normal 5 2 2 3 6 2 3" xfId="12399" xr:uid="{38F5C78E-3530-4EF4-AEDF-28E52B9B40A5}"/>
    <cellStyle name="Normal 5 2 2 3 6 3" xfId="6030" xr:uid="{00000000-0005-0000-0000-0000DE170000}"/>
    <cellStyle name="Normal 5 2 2 3 6 3 2" xfId="14472" xr:uid="{8F9280D5-7219-4B06-A3CB-EE58A56DEE31}"/>
    <cellStyle name="Normal 5 2 2 3 6 4" xfId="10254" xr:uid="{8BF0335E-3D35-4ADA-B2CB-01B8CD752119}"/>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5919C189-A014-403C-9A35-27FD38F820AC}"/>
    <cellStyle name="Normal 5 2 2 3 7 2 3" xfId="12812" xr:uid="{2310B617-53FB-4BD4-89FF-1E6D3913DA94}"/>
    <cellStyle name="Normal 5 2 2 3 7 3" xfId="6443" xr:uid="{00000000-0005-0000-0000-0000E2170000}"/>
    <cellStyle name="Normal 5 2 2 3 7 3 2" xfId="14885" xr:uid="{B44F8D76-2810-420B-9413-9B6C3CECEE17}"/>
    <cellStyle name="Normal 5 2 2 3 7 4" xfId="10667" xr:uid="{48FBA153-EF52-4777-B790-923926D63843}"/>
    <cellStyle name="Normal 5 2 2 3 8" xfId="2572" xr:uid="{00000000-0005-0000-0000-0000E3170000}"/>
    <cellStyle name="Normal 5 2 2 3 8 2" xfId="6856" xr:uid="{00000000-0005-0000-0000-0000E4170000}"/>
    <cellStyle name="Normal 5 2 2 3 8 2 2" xfId="15298" xr:uid="{7C63242B-0357-40E0-91EB-0F26C54F35CF}"/>
    <cellStyle name="Normal 5 2 2 3 8 3" xfId="11080" xr:uid="{C99F4239-C22D-4036-A5E0-FFF669E35FF1}"/>
    <cellStyle name="Normal 5 2 2 3 9" xfId="4791" xr:uid="{00000000-0005-0000-0000-0000E5170000}"/>
    <cellStyle name="Normal 5 2 2 3 9 2" xfId="13233" xr:uid="{E57BB6CA-A960-41EF-B94A-F94C411B8BB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F84013B7-5876-4A5F-AEE3-E2C39FD8CBBC}"/>
    <cellStyle name="Normal 5 2 2 4 2 2 2 3" xfId="11578" xr:uid="{01B08B55-BBD6-4409-AA91-01D12633B5E6}"/>
    <cellStyle name="Normal 5 2 2 4 2 2 3" xfId="5209" xr:uid="{00000000-0005-0000-0000-0000EB170000}"/>
    <cellStyle name="Normal 5 2 2 4 2 2 3 2" xfId="13651" xr:uid="{729064F0-CD48-49FC-B9CB-68801D9D2C68}"/>
    <cellStyle name="Normal 5 2 2 4 2 2 4" xfId="9433" xr:uid="{933F8C37-CA2B-4FEC-9A32-36435254565F}"/>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F08461A0-C512-450A-9215-4CCF01E356B9}"/>
    <cellStyle name="Normal 5 2 2 4 2 3 2 3" xfId="11991" xr:uid="{A8D1DEA3-9512-4CEA-A3EB-611668934E9A}"/>
    <cellStyle name="Normal 5 2 2 4 2 3 3" xfId="5622" xr:uid="{00000000-0005-0000-0000-0000EF170000}"/>
    <cellStyle name="Normal 5 2 2 4 2 3 3 2" xfId="14064" xr:uid="{8ABB4926-3A2C-478C-860A-50E713B6088B}"/>
    <cellStyle name="Normal 5 2 2 4 2 3 4" xfId="9846" xr:uid="{12662DCB-966E-45D7-A750-A0A310D2CA4B}"/>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2E484562-EFA6-40CE-9602-015FDD23400F}"/>
    <cellStyle name="Normal 5 2 2 4 2 4 2 3" xfId="12404" xr:uid="{F19E77A7-53C6-4658-A8FA-FABA88D2CB36}"/>
    <cellStyle name="Normal 5 2 2 4 2 4 3" xfId="6035" xr:uid="{00000000-0005-0000-0000-0000F3170000}"/>
    <cellStyle name="Normal 5 2 2 4 2 4 3 2" xfId="14477" xr:uid="{517ABB6A-633F-4E52-BB25-65049E9AABBD}"/>
    <cellStyle name="Normal 5 2 2 4 2 4 4" xfId="10259" xr:uid="{FB740F69-CF92-45D6-96D3-1EA2A3AEEF73}"/>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D0F45F4E-4399-4D12-B7CD-9BC72286282C}"/>
    <cellStyle name="Normal 5 2 2 4 2 5 2 3" xfId="12817" xr:uid="{31082B14-D753-4345-8C34-0205021810C9}"/>
    <cellStyle name="Normal 5 2 2 4 2 5 3" xfId="6448" xr:uid="{00000000-0005-0000-0000-0000F7170000}"/>
    <cellStyle name="Normal 5 2 2 4 2 5 3 2" xfId="14890" xr:uid="{1B9533DE-440C-4357-A1A6-EC13AA674CDD}"/>
    <cellStyle name="Normal 5 2 2 4 2 5 4" xfId="10672" xr:uid="{EFD15923-C884-4EBC-9694-C804DB5853CE}"/>
    <cellStyle name="Normal 5 2 2 4 2 6" xfId="2577" xr:uid="{00000000-0005-0000-0000-0000F8170000}"/>
    <cellStyle name="Normal 5 2 2 4 2 6 2" xfId="6861" xr:uid="{00000000-0005-0000-0000-0000F9170000}"/>
    <cellStyle name="Normal 5 2 2 4 2 6 2 2" xfId="15303" xr:uid="{0CA67D11-AB5E-4DE5-9D1F-0977840C3DE9}"/>
    <cellStyle name="Normal 5 2 2 4 2 6 3" xfId="11085" xr:uid="{BAF44621-AC7D-4C31-B827-4A020336868C}"/>
    <cellStyle name="Normal 5 2 2 4 2 7" xfId="4796" xr:uid="{00000000-0005-0000-0000-0000FA170000}"/>
    <cellStyle name="Normal 5 2 2 4 2 7 2" xfId="13238" xr:uid="{8A42F556-157A-437F-A211-F6716967D46D}"/>
    <cellStyle name="Normal 5 2 2 4 2 8" xfId="9020" xr:uid="{C1410B1E-7AD5-43DF-9F63-6314D35B5C8F}"/>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88D0C05F-03A2-425B-BEE0-BA1FA00D666C}"/>
    <cellStyle name="Normal 5 2 2 4 3 2 3" xfId="11577" xr:uid="{08E9DF93-715E-4C23-ACC2-0BAEC9C739F8}"/>
    <cellStyle name="Normal 5 2 2 4 3 3" xfId="5208" xr:uid="{00000000-0005-0000-0000-0000FE170000}"/>
    <cellStyle name="Normal 5 2 2 4 3 3 2" xfId="13650" xr:uid="{ED89BCB6-DCA2-4AD4-BB16-3C1BA6F24BDE}"/>
    <cellStyle name="Normal 5 2 2 4 3 4" xfId="9432" xr:uid="{DD674769-399A-4595-BDA3-3F0AF82D69B2}"/>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3D6AC42F-826A-4053-BFF2-F831DDAA42A7}"/>
    <cellStyle name="Normal 5 2 2 4 4 2 3" xfId="11990" xr:uid="{6FAE9F68-D970-4DD7-A318-3891A413C492}"/>
    <cellStyle name="Normal 5 2 2 4 4 3" xfId="5621" xr:uid="{00000000-0005-0000-0000-000002180000}"/>
    <cellStyle name="Normal 5 2 2 4 4 3 2" xfId="14063" xr:uid="{FA0877B1-E912-4806-98E4-B497FA3B760A}"/>
    <cellStyle name="Normal 5 2 2 4 4 4" xfId="9845" xr:uid="{762C49CF-69EF-4F96-AFE5-78EF079CF66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C234928E-2DE9-4A9C-9CD1-BE588642FA20}"/>
    <cellStyle name="Normal 5 2 2 4 5 2 3" xfId="12403" xr:uid="{82174315-2F40-4AF0-9243-43F397E8FCF8}"/>
    <cellStyle name="Normal 5 2 2 4 5 3" xfId="6034" xr:uid="{00000000-0005-0000-0000-000006180000}"/>
    <cellStyle name="Normal 5 2 2 4 5 3 2" xfId="14476" xr:uid="{CED3AFD5-785E-4A06-8E39-8DD1BF05BEC9}"/>
    <cellStyle name="Normal 5 2 2 4 5 4" xfId="10258" xr:uid="{6B7496B9-5D90-45F1-8813-33A96EF00C13}"/>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7D26CEB0-FBF8-4A9F-8FBC-4C3C09C97714}"/>
    <cellStyle name="Normal 5 2 2 4 6 2 3" xfId="12816" xr:uid="{75AAE17B-FF1E-4A40-AAC2-7CEEBB593EF5}"/>
    <cellStyle name="Normal 5 2 2 4 6 3" xfId="6447" xr:uid="{00000000-0005-0000-0000-00000A180000}"/>
    <cellStyle name="Normal 5 2 2 4 6 3 2" xfId="14889" xr:uid="{E0F9A6C2-E16F-4F3D-87C3-D83B865FEC3D}"/>
    <cellStyle name="Normal 5 2 2 4 6 4" xfId="10671" xr:uid="{1D903094-C268-4ED1-B218-726F0ADCDCB0}"/>
    <cellStyle name="Normal 5 2 2 4 7" xfId="2576" xr:uid="{00000000-0005-0000-0000-00000B180000}"/>
    <cellStyle name="Normal 5 2 2 4 7 2" xfId="6860" xr:uid="{00000000-0005-0000-0000-00000C180000}"/>
    <cellStyle name="Normal 5 2 2 4 7 2 2" xfId="15302" xr:uid="{14D4F34B-8362-49C2-A1F7-E1A8756C7986}"/>
    <cellStyle name="Normal 5 2 2 4 7 3" xfId="11084" xr:uid="{D2CFF0DF-E3D3-49E8-8CE5-6A0F8031DA6E}"/>
    <cellStyle name="Normal 5 2 2 4 8" xfId="4795" xr:uid="{00000000-0005-0000-0000-00000D180000}"/>
    <cellStyle name="Normal 5 2 2 4 8 2" xfId="13237" xr:uid="{5AFB6EED-7669-48E9-8B25-E632574CA030}"/>
    <cellStyle name="Normal 5 2 2 4 9" xfId="9019" xr:uid="{8E0F82E1-860F-45F8-98E6-DBE425BB35B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B66DF8F3-9463-4E7B-BD8E-67ACC507199B}"/>
    <cellStyle name="Normal 5 2 2 5 2 2 3" xfId="11579" xr:uid="{E6FDD868-6D16-41A9-81F9-13DCAE43A2F5}"/>
    <cellStyle name="Normal 5 2 2 5 2 3" xfId="5210" xr:uid="{00000000-0005-0000-0000-000012180000}"/>
    <cellStyle name="Normal 5 2 2 5 2 3 2" xfId="13652" xr:uid="{95F78D02-95AB-4FD2-9CF7-66C4086BC7A7}"/>
    <cellStyle name="Normal 5 2 2 5 2 4" xfId="9434" xr:uid="{6CB25E06-0DBB-4376-9858-6A482A30D10F}"/>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9A61DD59-3386-467D-B735-0FAD811ACD05}"/>
    <cellStyle name="Normal 5 2 2 5 3 2 3" xfId="11992" xr:uid="{A27E9DEA-3AF9-4134-A6D3-642DF8E91D6F}"/>
    <cellStyle name="Normal 5 2 2 5 3 3" xfId="5623" xr:uid="{00000000-0005-0000-0000-000016180000}"/>
    <cellStyle name="Normal 5 2 2 5 3 3 2" xfId="14065" xr:uid="{F18EC79C-F174-4852-9A8C-CB44EF44FFA2}"/>
    <cellStyle name="Normal 5 2 2 5 3 4" xfId="9847" xr:uid="{DC32C0BB-C270-4711-9C56-3090E8F8460C}"/>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DB883880-A3FC-4DCA-A78B-8735ED266E1F}"/>
    <cellStyle name="Normal 5 2 2 5 4 2 3" xfId="12405" xr:uid="{1696257C-EF3C-4B2F-ADA1-D0676483DA29}"/>
    <cellStyle name="Normal 5 2 2 5 4 3" xfId="6036" xr:uid="{00000000-0005-0000-0000-00001A180000}"/>
    <cellStyle name="Normal 5 2 2 5 4 3 2" xfId="14478" xr:uid="{63F856FF-6DB9-4D8C-9636-C549446E8C5C}"/>
    <cellStyle name="Normal 5 2 2 5 4 4" xfId="10260" xr:uid="{BBEB7292-6EB6-4D77-97CC-DD9759FF9166}"/>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92E9CC86-C9B2-4C89-B916-ABD9FD576BE5}"/>
    <cellStyle name="Normal 5 2 2 5 5 2 3" xfId="12818" xr:uid="{8F69D1A5-324B-4241-96CD-8CB48430DA3F}"/>
    <cellStyle name="Normal 5 2 2 5 5 3" xfId="6449" xr:uid="{00000000-0005-0000-0000-00001E180000}"/>
    <cellStyle name="Normal 5 2 2 5 5 3 2" xfId="14891" xr:uid="{02EAAFDF-A0F5-499B-AD7A-F0D9405DF6F4}"/>
    <cellStyle name="Normal 5 2 2 5 5 4" xfId="10673" xr:uid="{30B177E7-40C9-4C5F-9AD5-EC2CAB242656}"/>
    <cellStyle name="Normal 5 2 2 5 6" xfId="2578" xr:uid="{00000000-0005-0000-0000-00001F180000}"/>
    <cellStyle name="Normal 5 2 2 5 6 2" xfId="6862" xr:uid="{00000000-0005-0000-0000-000020180000}"/>
    <cellStyle name="Normal 5 2 2 5 6 2 2" xfId="15304" xr:uid="{E20D6EF2-5BD7-4577-B404-86DB54EA99A2}"/>
    <cellStyle name="Normal 5 2 2 5 6 3" xfId="11086" xr:uid="{F7A0DBD9-DB58-47BF-A05A-7961F7D4108D}"/>
    <cellStyle name="Normal 5 2 2 5 7" xfId="4797" xr:uid="{00000000-0005-0000-0000-000021180000}"/>
    <cellStyle name="Normal 5 2 2 5 7 2" xfId="13239" xr:uid="{41ED7B02-37FF-4B49-AA13-3BE4F7E6129A}"/>
    <cellStyle name="Normal 5 2 2 5 8" xfId="9021" xr:uid="{BB0E4482-75E5-49F7-8641-E5CFF9E310F0}"/>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3680A116-44C9-48F3-A793-16B46FBBDAA1}"/>
    <cellStyle name="Normal 5 2 2 6 2 3" xfId="11564" xr:uid="{D092C0E4-F924-4B31-A87D-16E43EDFAF52}"/>
    <cellStyle name="Normal 5 2 2 6 3" xfId="5195" xr:uid="{00000000-0005-0000-0000-000025180000}"/>
    <cellStyle name="Normal 5 2 2 6 3 2" xfId="13637" xr:uid="{B8055998-711B-4689-8237-165CC2503C09}"/>
    <cellStyle name="Normal 5 2 2 6 4" xfId="9419" xr:uid="{3F649B9D-78DB-4293-B329-560C294285F4}"/>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987C75FF-320E-404E-A481-80570FF275C2}"/>
    <cellStyle name="Normal 5 2 2 7 2 3" xfId="11977" xr:uid="{4B6F6756-C563-44EB-943B-F413B68CBE4A}"/>
    <cellStyle name="Normal 5 2 2 7 3" xfId="5608" xr:uid="{00000000-0005-0000-0000-000029180000}"/>
    <cellStyle name="Normal 5 2 2 7 3 2" xfId="14050" xr:uid="{B8C7BF47-C934-442C-95E0-0839CFD965D8}"/>
    <cellStyle name="Normal 5 2 2 7 4" xfId="9832" xr:uid="{68DB295C-67C4-409F-89BC-F1E4BE1E162C}"/>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C427B3BE-F590-4FC1-A762-C2ACE1B63B78}"/>
    <cellStyle name="Normal 5 2 2 8 2 3" xfId="12390" xr:uid="{F9B31BA6-D1E5-4FF3-8AFD-20627A074745}"/>
    <cellStyle name="Normal 5 2 2 8 3" xfId="6021" xr:uid="{00000000-0005-0000-0000-00002D180000}"/>
    <cellStyle name="Normal 5 2 2 8 3 2" xfId="14463" xr:uid="{ACC28BA3-50F1-44C7-9BCC-4D7CAC25D67A}"/>
    <cellStyle name="Normal 5 2 2 8 4" xfId="10245" xr:uid="{BEC75BBF-B944-4A08-ACC5-2D3ABF601247}"/>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0D914854-A61B-445B-B84F-254DEAEAEBBD}"/>
    <cellStyle name="Normal 5 2 2 9 2 3" xfId="12803" xr:uid="{FF64E217-07D9-4044-9E7B-2FD11E281654}"/>
    <cellStyle name="Normal 5 2 2 9 3" xfId="6434" xr:uid="{00000000-0005-0000-0000-000031180000}"/>
    <cellStyle name="Normal 5 2 2 9 3 2" xfId="14876" xr:uid="{5F92584B-12B8-4DC5-9715-E92A1E2D6354}"/>
    <cellStyle name="Normal 5 2 2 9 4" xfId="10658" xr:uid="{665AA53F-6E61-4EA9-AD7B-AB26BCB5E12C}"/>
    <cellStyle name="Normal 5 2 3" xfId="424" xr:uid="{00000000-0005-0000-0000-000032180000}"/>
    <cellStyle name="Normal 5 2 3 10" xfId="4798" xr:uid="{00000000-0005-0000-0000-000033180000}"/>
    <cellStyle name="Normal 5 2 3 10 2" xfId="13240" xr:uid="{F9E1C221-7CF8-439B-8A70-689CAB1AECE1}"/>
    <cellStyle name="Normal 5 2 3 11" xfId="9022" xr:uid="{852CD6E8-CF45-4FE1-BCE9-E0931BB803E0}"/>
    <cellStyle name="Normal 5 2 3 2" xfId="425" xr:uid="{00000000-0005-0000-0000-000034180000}"/>
    <cellStyle name="Normal 5 2 3 2 10" xfId="9023" xr:uid="{769C7FDD-8061-473A-A4BC-F37F7DCE3A68}"/>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C632AA57-A23F-4B79-8489-81075905217B}"/>
    <cellStyle name="Normal 5 2 3 2 2 2 2 2 3" xfId="11583" xr:uid="{C30FB257-BCC8-4382-8922-7CB78F415154}"/>
    <cellStyle name="Normal 5 2 3 2 2 2 2 3" xfId="5214" xr:uid="{00000000-0005-0000-0000-00003A180000}"/>
    <cellStyle name="Normal 5 2 3 2 2 2 2 3 2" xfId="13656" xr:uid="{83ECB85A-3A99-4C81-B6CF-D08B02C4250F}"/>
    <cellStyle name="Normal 5 2 3 2 2 2 2 4" xfId="9438" xr:uid="{E283AC94-AB3D-42AD-9164-21293198ED62}"/>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F8EF6319-2821-43C4-8280-34D3B9C9498B}"/>
    <cellStyle name="Normal 5 2 3 2 2 2 3 2 3" xfId="11996" xr:uid="{B6AE7620-811C-4499-895E-8DA81E57E897}"/>
    <cellStyle name="Normal 5 2 3 2 2 2 3 3" xfId="5627" xr:uid="{00000000-0005-0000-0000-00003E180000}"/>
    <cellStyle name="Normal 5 2 3 2 2 2 3 3 2" xfId="14069" xr:uid="{8F6E99D4-B812-450D-83B8-82F76A5B0468}"/>
    <cellStyle name="Normal 5 2 3 2 2 2 3 4" xfId="9851" xr:uid="{12A0CD9B-CA82-403C-9311-67497F340CE6}"/>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5E47FC95-84D8-4142-9F55-C48AC171580C}"/>
    <cellStyle name="Normal 5 2 3 2 2 2 4 2 3" xfId="12409" xr:uid="{91A96DC1-27C0-4840-9866-FF79E44E9974}"/>
    <cellStyle name="Normal 5 2 3 2 2 2 4 3" xfId="6040" xr:uid="{00000000-0005-0000-0000-000042180000}"/>
    <cellStyle name="Normal 5 2 3 2 2 2 4 3 2" xfId="14482" xr:uid="{32881A31-800C-4E8A-BBC4-006CFFE8C7C7}"/>
    <cellStyle name="Normal 5 2 3 2 2 2 4 4" xfId="10264" xr:uid="{A95F724C-4298-4C88-9BFF-31A17859E63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BC98C939-3028-4BD6-BD8F-B2D8826EA144}"/>
    <cellStyle name="Normal 5 2 3 2 2 2 5 2 3" xfId="12822" xr:uid="{5AEC9378-2CC3-4291-B3A5-40D1BE114ACF}"/>
    <cellStyle name="Normal 5 2 3 2 2 2 5 3" xfId="6453" xr:uid="{00000000-0005-0000-0000-000046180000}"/>
    <cellStyle name="Normal 5 2 3 2 2 2 5 3 2" xfId="14895" xr:uid="{2E584B64-4DD5-4FBC-B67E-1046EAAED771}"/>
    <cellStyle name="Normal 5 2 3 2 2 2 5 4" xfId="10677" xr:uid="{FB41E81C-A4E0-4E01-BBF6-D21F339E3F2D}"/>
    <cellStyle name="Normal 5 2 3 2 2 2 6" xfId="2582" xr:uid="{00000000-0005-0000-0000-000047180000}"/>
    <cellStyle name="Normal 5 2 3 2 2 2 6 2" xfId="6866" xr:uid="{00000000-0005-0000-0000-000048180000}"/>
    <cellStyle name="Normal 5 2 3 2 2 2 6 2 2" xfId="15308" xr:uid="{FC0ED2DB-CC08-4442-BB5C-73C8BEC1F910}"/>
    <cellStyle name="Normal 5 2 3 2 2 2 6 3" xfId="11090" xr:uid="{6E195BEE-78FF-4AA4-89BF-9947D9FEA019}"/>
    <cellStyle name="Normal 5 2 3 2 2 2 7" xfId="4801" xr:uid="{00000000-0005-0000-0000-000049180000}"/>
    <cellStyle name="Normal 5 2 3 2 2 2 7 2" xfId="13243" xr:uid="{E5E34D7B-AEE6-4D44-96E0-F9B380B28F97}"/>
    <cellStyle name="Normal 5 2 3 2 2 2 8" xfId="9025" xr:uid="{003407B1-4601-45B3-A155-9E0AF249516C}"/>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8FE590A9-6FEE-4CF0-A8E7-CC615713D769}"/>
    <cellStyle name="Normal 5 2 3 2 2 3 2 3" xfId="11582" xr:uid="{C8F9494C-A10D-486B-A8AC-48DFA1FDDF99}"/>
    <cellStyle name="Normal 5 2 3 2 2 3 3" xfId="5213" xr:uid="{00000000-0005-0000-0000-00004D180000}"/>
    <cellStyle name="Normal 5 2 3 2 2 3 3 2" xfId="13655" xr:uid="{17B29BC2-AE77-4B47-ADAD-930D6162DEB4}"/>
    <cellStyle name="Normal 5 2 3 2 2 3 4" xfId="9437" xr:uid="{95721CB5-A805-45AF-962F-EFB5AAA8373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AD2916D2-6988-4B14-98A1-ED29933019DA}"/>
    <cellStyle name="Normal 5 2 3 2 2 4 2 3" xfId="11995" xr:uid="{CF71F1EF-8278-48F6-A0AB-84DDE19ABFD6}"/>
    <cellStyle name="Normal 5 2 3 2 2 4 3" xfId="5626" xr:uid="{00000000-0005-0000-0000-000051180000}"/>
    <cellStyle name="Normal 5 2 3 2 2 4 3 2" xfId="14068" xr:uid="{697DEDAB-E81B-4E5A-951E-CCC179FEC4FB}"/>
    <cellStyle name="Normal 5 2 3 2 2 4 4" xfId="9850" xr:uid="{31754654-8C06-4840-A28E-F0FF25301A0B}"/>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B780C1E3-12A7-49D4-A19E-9A79ABDA6C68}"/>
    <cellStyle name="Normal 5 2 3 2 2 5 2 3" xfId="12408" xr:uid="{080B92A7-6100-464A-9788-E85F0C6CE6CC}"/>
    <cellStyle name="Normal 5 2 3 2 2 5 3" xfId="6039" xr:uid="{00000000-0005-0000-0000-000055180000}"/>
    <cellStyle name="Normal 5 2 3 2 2 5 3 2" xfId="14481" xr:uid="{5A1A70A7-5C5E-4A44-B6F7-CD70B858891B}"/>
    <cellStyle name="Normal 5 2 3 2 2 5 4" xfId="10263" xr:uid="{DA0928B8-CE9C-4661-A0B8-E0ADCDB7FE5E}"/>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A52995A7-2BFB-4284-89DC-23320ACC7F59}"/>
    <cellStyle name="Normal 5 2 3 2 2 6 2 3" xfId="12821" xr:uid="{6A542467-DA19-4AF8-8C1C-22B4E015FECA}"/>
    <cellStyle name="Normal 5 2 3 2 2 6 3" xfId="6452" xr:uid="{00000000-0005-0000-0000-000059180000}"/>
    <cellStyle name="Normal 5 2 3 2 2 6 3 2" xfId="14894" xr:uid="{C1854C7B-AE7D-4256-A248-C9D88E165DEA}"/>
    <cellStyle name="Normal 5 2 3 2 2 6 4" xfId="10676" xr:uid="{61AE74A3-DAC0-454D-944F-D8ED8D7BF37E}"/>
    <cellStyle name="Normal 5 2 3 2 2 7" xfId="2581" xr:uid="{00000000-0005-0000-0000-00005A180000}"/>
    <cellStyle name="Normal 5 2 3 2 2 7 2" xfId="6865" xr:uid="{00000000-0005-0000-0000-00005B180000}"/>
    <cellStyle name="Normal 5 2 3 2 2 7 2 2" xfId="15307" xr:uid="{21F28B5D-FFB9-4731-B226-3E4E6697D730}"/>
    <cellStyle name="Normal 5 2 3 2 2 7 3" xfId="11089" xr:uid="{140465FE-8A98-4D20-A56C-D489829BEA55}"/>
    <cellStyle name="Normal 5 2 3 2 2 8" xfId="4800" xr:uid="{00000000-0005-0000-0000-00005C180000}"/>
    <cellStyle name="Normal 5 2 3 2 2 8 2" xfId="13242" xr:uid="{20A2D0B2-1AC0-4CAC-BA05-6A424A3688B1}"/>
    <cellStyle name="Normal 5 2 3 2 2 9" xfId="9024" xr:uid="{FB18F940-7F17-4E00-A63C-099DC329B69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B579EC1C-1275-4540-B16E-2AF5560C93DA}"/>
    <cellStyle name="Normal 5 2 3 2 3 2 2 3" xfId="11584" xr:uid="{A0C63556-6C4B-4E24-BC07-26B287B00BF3}"/>
    <cellStyle name="Normal 5 2 3 2 3 2 3" xfId="5215" xr:uid="{00000000-0005-0000-0000-000061180000}"/>
    <cellStyle name="Normal 5 2 3 2 3 2 3 2" xfId="13657" xr:uid="{B4140E18-E15E-4294-96B0-E2EDF3877122}"/>
    <cellStyle name="Normal 5 2 3 2 3 2 4" xfId="9439" xr:uid="{B4C18ED2-30B5-453A-9B79-DBF633A2EE42}"/>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FEA641E5-38E1-461D-8E94-2FE70F41B41B}"/>
    <cellStyle name="Normal 5 2 3 2 3 3 2 3" xfId="11997" xr:uid="{6C6A27D3-0B3E-4861-B5B6-46CB539B4771}"/>
    <cellStyle name="Normal 5 2 3 2 3 3 3" xfId="5628" xr:uid="{00000000-0005-0000-0000-000065180000}"/>
    <cellStyle name="Normal 5 2 3 2 3 3 3 2" xfId="14070" xr:uid="{017D273D-D728-41FC-8CC4-3D5DDF8C8D93}"/>
    <cellStyle name="Normal 5 2 3 2 3 3 4" xfId="9852" xr:uid="{445FFBEC-7D72-4B9E-95EC-D671B2E4E8C3}"/>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891B71DF-FC85-40FC-8534-340410D504B1}"/>
    <cellStyle name="Normal 5 2 3 2 3 4 2 3" xfId="12410" xr:uid="{A3EAFCB1-30DC-4E29-8748-E2340E45F6DF}"/>
    <cellStyle name="Normal 5 2 3 2 3 4 3" xfId="6041" xr:uid="{00000000-0005-0000-0000-000069180000}"/>
    <cellStyle name="Normal 5 2 3 2 3 4 3 2" xfId="14483" xr:uid="{56062882-3973-4C2A-81CC-A1C2FE55A63F}"/>
    <cellStyle name="Normal 5 2 3 2 3 4 4" xfId="10265" xr:uid="{C65058A6-03C5-4F39-8D87-6D35AB82313F}"/>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9C565303-57BD-438C-88DA-CE064913A346}"/>
    <cellStyle name="Normal 5 2 3 2 3 5 2 3" xfId="12823" xr:uid="{575575D6-A306-45D3-81AD-687A33569296}"/>
    <cellStyle name="Normal 5 2 3 2 3 5 3" xfId="6454" xr:uid="{00000000-0005-0000-0000-00006D180000}"/>
    <cellStyle name="Normal 5 2 3 2 3 5 3 2" xfId="14896" xr:uid="{1BCB995E-4B22-440E-8C91-6A9A53292433}"/>
    <cellStyle name="Normal 5 2 3 2 3 5 4" xfId="10678" xr:uid="{B638C732-D8EA-4B3E-9C53-915340A373C2}"/>
    <cellStyle name="Normal 5 2 3 2 3 6" xfId="2583" xr:uid="{00000000-0005-0000-0000-00006E180000}"/>
    <cellStyle name="Normal 5 2 3 2 3 6 2" xfId="6867" xr:uid="{00000000-0005-0000-0000-00006F180000}"/>
    <cellStyle name="Normal 5 2 3 2 3 6 2 2" xfId="15309" xr:uid="{D32AA9E4-ADEE-40C1-A39E-D120445D6003}"/>
    <cellStyle name="Normal 5 2 3 2 3 6 3" xfId="11091" xr:uid="{2CA02422-04DD-4434-AEB3-DDC7205A388B}"/>
    <cellStyle name="Normal 5 2 3 2 3 7" xfId="4802" xr:uid="{00000000-0005-0000-0000-000070180000}"/>
    <cellStyle name="Normal 5 2 3 2 3 7 2" xfId="13244" xr:uid="{5D3C492F-1567-4FE0-A381-97CC57132B56}"/>
    <cellStyle name="Normal 5 2 3 2 3 8" xfId="9026" xr:uid="{0A4EDF15-10D7-4F98-B34A-856DCCBF05CE}"/>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0A134D8-56CA-4C51-8677-A08C4689E9DE}"/>
    <cellStyle name="Normal 5 2 3 2 4 2 3" xfId="11581" xr:uid="{772DA723-D3F0-4C54-913C-BE520AF3AEA7}"/>
    <cellStyle name="Normal 5 2 3 2 4 3" xfId="5212" xr:uid="{00000000-0005-0000-0000-000074180000}"/>
    <cellStyle name="Normal 5 2 3 2 4 3 2" xfId="13654" xr:uid="{4BC1823A-3811-4EB9-8701-A09476C09F4C}"/>
    <cellStyle name="Normal 5 2 3 2 4 4" xfId="9436" xr:uid="{46B2027A-008B-4B8B-AE3D-4F47CF48AE75}"/>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32B50267-E3B6-41D3-9DC3-A3E80453B328}"/>
    <cellStyle name="Normal 5 2 3 2 5 2 3" xfId="11994" xr:uid="{88F67DBE-653B-4366-B957-CBA78226C18A}"/>
    <cellStyle name="Normal 5 2 3 2 5 3" xfId="5625" xr:uid="{00000000-0005-0000-0000-000078180000}"/>
    <cellStyle name="Normal 5 2 3 2 5 3 2" xfId="14067" xr:uid="{D4399D54-8CB8-4632-AF45-9597AC60753A}"/>
    <cellStyle name="Normal 5 2 3 2 5 4" xfId="9849" xr:uid="{11BC04D2-9D4E-4745-BE16-A41CC0CE4851}"/>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C7C8A6B7-A1A1-4AF0-B535-FCBAEC2682CE}"/>
    <cellStyle name="Normal 5 2 3 2 6 2 3" xfId="12407" xr:uid="{EA2D89B3-0561-485B-8A80-7B327E72A97C}"/>
    <cellStyle name="Normal 5 2 3 2 6 3" xfId="6038" xr:uid="{00000000-0005-0000-0000-00007C180000}"/>
    <cellStyle name="Normal 5 2 3 2 6 3 2" xfId="14480" xr:uid="{ABD37C73-B751-4010-836C-FE1FD1D7D1A3}"/>
    <cellStyle name="Normal 5 2 3 2 6 4" xfId="10262" xr:uid="{5D55993A-0F0D-44F5-9ADE-A31F342E4F93}"/>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F5BAEB41-B98E-472A-95DC-7C0B8A2A5577}"/>
    <cellStyle name="Normal 5 2 3 2 7 2 3" xfId="12820" xr:uid="{17B3D1C2-8296-461B-A575-803FC63A91C5}"/>
    <cellStyle name="Normal 5 2 3 2 7 3" xfId="6451" xr:uid="{00000000-0005-0000-0000-000080180000}"/>
    <cellStyle name="Normal 5 2 3 2 7 3 2" xfId="14893" xr:uid="{09D8BB73-30FA-464B-A0BA-CC15CF828FBC}"/>
    <cellStyle name="Normal 5 2 3 2 7 4" xfId="10675" xr:uid="{C1B1E915-7E5B-4018-8BFF-9810E18D4E13}"/>
    <cellStyle name="Normal 5 2 3 2 8" xfId="2580" xr:uid="{00000000-0005-0000-0000-000081180000}"/>
    <cellStyle name="Normal 5 2 3 2 8 2" xfId="6864" xr:uid="{00000000-0005-0000-0000-000082180000}"/>
    <cellStyle name="Normal 5 2 3 2 8 2 2" xfId="15306" xr:uid="{2909707D-EB83-4A82-B883-A5952C57DB15}"/>
    <cellStyle name="Normal 5 2 3 2 8 3" xfId="11088" xr:uid="{B189703A-9E9B-4868-8108-C34B62C7B4A0}"/>
    <cellStyle name="Normal 5 2 3 2 9" xfId="4799" xr:uid="{00000000-0005-0000-0000-000083180000}"/>
    <cellStyle name="Normal 5 2 3 2 9 2" xfId="13241" xr:uid="{E6D3D08E-AAB9-44BD-9983-4550EDEBA93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032F88FF-BC9C-4F94-9104-BB1E3C293194}"/>
    <cellStyle name="Normal 5 2 3 3 2 2 2 3" xfId="11586" xr:uid="{E9706FD9-DF7F-40A4-A88A-F12A3912F65A}"/>
    <cellStyle name="Normal 5 2 3 3 2 2 3" xfId="5217" xr:uid="{00000000-0005-0000-0000-000089180000}"/>
    <cellStyle name="Normal 5 2 3 3 2 2 3 2" xfId="13659" xr:uid="{B7DA297B-9483-43B0-9AF4-0A068DDD4C59}"/>
    <cellStyle name="Normal 5 2 3 3 2 2 4" xfId="9441" xr:uid="{BA53A442-C5F4-4300-895D-183B695C7CD2}"/>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07C6A6A7-39B8-445F-9239-34635FB1AB4F}"/>
    <cellStyle name="Normal 5 2 3 3 2 3 2 3" xfId="11999" xr:uid="{8662A2E8-3992-417F-8506-2D36FCB0C7C8}"/>
    <cellStyle name="Normal 5 2 3 3 2 3 3" xfId="5630" xr:uid="{00000000-0005-0000-0000-00008D180000}"/>
    <cellStyle name="Normal 5 2 3 3 2 3 3 2" xfId="14072" xr:uid="{7EF75DB8-2B23-4D47-9BEF-E0F5BBB056E3}"/>
    <cellStyle name="Normal 5 2 3 3 2 3 4" xfId="9854" xr:uid="{6C03C750-CBB4-466D-8B66-E8B8EF16E371}"/>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73355388-2742-465F-A4EC-7BCFBDE6B841}"/>
    <cellStyle name="Normal 5 2 3 3 2 4 2 3" xfId="12412" xr:uid="{7039A4C2-994B-4A8C-8C2C-B1004C402EF5}"/>
    <cellStyle name="Normal 5 2 3 3 2 4 3" xfId="6043" xr:uid="{00000000-0005-0000-0000-000091180000}"/>
    <cellStyle name="Normal 5 2 3 3 2 4 3 2" xfId="14485" xr:uid="{53CACFBE-C86E-4F6F-AA5C-004312AAB33B}"/>
    <cellStyle name="Normal 5 2 3 3 2 4 4" xfId="10267" xr:uid="{7AD9C816-026A-4E52-A1E9-48DC9E3BF953}"/>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0A36B10E-2E2F-4E55-BC06-147A3A815998}"/>
    <cellStyle name="Normal 5 2 3 3 2 5 2 3" xfId="12825" xr:uid="{314BBB6F-42CE-419D-97B9-03CFB2A090C0}"/>
    <cellStyle name="Normal 5 2 3 3 2 5 3" xfId="6456" xr:uid="{00000000-0005-0000-0000-000095180000}"/>
    <cellStyle name="Normal 5 2 3 3 2 5 3 2" xfId="14898" xr:uid="{A8EA73A4-1F5C-44C2-A53A-6C4DAF0E604F}"/>
    <cellStyle name="Normal 5 2 3 3 2 5 4" xfId="10680" xr:uid="{041F012A-4E37-41D5-8FBB-A3BFC4535249}"/>
    <cellStyle name="Normal 5 2 3 3 2 6" xfId="2585" xr:uid="{00000000-0005-0000-0000-000096180000}"/>
    <cellStyle name="Normal 5 2 3 3 2 6 2" xfId="6869" xr:uid="{00000000-0005-0000-0000-000097180000}"/>
    <cellStyle name="Normal 5 2 3 3 2 6 2 2" xfId="15311" xr:uid="{77099A08-201B-490F-AAD6-5B59368FB974}"/>
    <cellStyle name="Normal 5 2 3 3 2 6 3" xfId="11093" xr:uid="{520083DF-1EFC-4477-A800-6426AC879E9D}"/>
    <cellStyle name="Normal 5 2 3 3 2 7" xfId="4804" xr:uid="{00000000-0005-0000-0000-000098180000}"/>
    <cellStyle name="Normal 5 2 3 3 2 7 2" xfId="13246" xr:uid="{B8A6599A-8B89-417F-884F-B0909EEBE817}"/>
    <cellStyle name="Normal 5 2 3 3 2 8" xfId="9028" xr:uid="{74CE4923-8D51-496D-9302-2C7BAF1A0390}"/>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A558D0E7-990F-40FE-A310-D93C48E739F9}"/>
    <cellStyle name="Normal 5 2 3 3 3 2 3" xfId="11585" xr:uid="{1EA083D6-3656-40F8-9BA9-A74EDD253D5D}"/>
    <cellStyle name="Normal 5 2 3 3 3 3" xfId="5216" xr:uid="{00000000-0005-0000-0000-00009C180000}"/>
    <cellStyle name="Normal 5 2 3 3 3 3 2" xfId="13658" xr:uid="{B47C7CB0-E97B-4A09-A5B7-8B702DD1152D}"/>
    <cellStyle name="Normal 5 2 3 3 3 4" xfId="9440" xr:uid="{24A2EB36-2D7E-415B-903C-1F29F9FEB38C}"/>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28A960F5-980E-408A-BDA0-E3A964BF3D89}"/>
    <cellStyle name="Normal 5 2 3 3 4 2 3" xfId="11998" xr:uid="{6AEEB94E-9AFE-4772-8059-9093288CDD45}"/>
    <cellStyle name="Normal 5 2 3 3 4 3" xfId="5629" xr:uid="{00000000-0005-0000-0000-0000A0180000}"/>
    <cellStyle name="Normal 5 2 3 3 4 3 2" xfId="14071" xr:uid="{4B0157BA-951E-4F67-9164-320869F9B6D1}"/>
    <cellStyle name="Normal 5 2 3 3 4 4" xfId="9853" xr:uid="{AC8FFBE9-0150-424A-99F4-E4D6515F5DA5}"/>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7AD653FB-E669-402B-BFE8-B017A0D5D9ED}"/>
    <cellStyle name="Normal 5 2 3 3 5 2 3" xfId="12411" xr:uid="{687A94DC-4EB2-4D7D-AD91-F1F58FED780D}"/>
    <cellStyle name="Normal 5 2 3 3 5 3" xfId="6042" xr:uid="{00000000-0005-0000-0000-0000A4180000}"/>
    <cellStyle name="Normal 5 2 3 3 5 3 2" xfId="14484" xr:uid="{28E36D26-ED7F-468E-8488-C6517FFB749E}"/>
    <cellStyle name="Normal 5 2 3 3 5 4" xfId="10266" xr:uid="{43392EDE-A2A9-4AD4-A522-87BBE6D1513E}"/>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44190C1F-49F6-44EE-9636-E0AF09D2C508}"/>
    <cellStyle name="Normal 5 2 3 3 6 2 3" xfId="12824" xr:uid="{A56D6939-F6E6-4A2D-BDE6-7E1E2B880FD7}"/>
    <cellStyle name="Normal 5 2 3 3 6 3" xfId="6455" xr:uid="{00000000-0005-0000-0000-0000A8180000}"/>
    <cellStyle name="Normal 5 2 3 3 6 3 2" xfId="14897" xr:uid="{20E0F74E-155C-4C24-9BA1-F981F30BA487}"/>
    <cellStyle name="Normal 5 2 3 3 6 4" xfId="10679" xr:uid="{E7B6EFD2-72C7-4F24-A0B5-6C4491CEE4FB}"/>
    <cellStyle name="Normal 5 2 3 3 7" xfId="2584" xr:uid="{00000000-0005-0000-0000-0000A9180000}"/>
    <cellStyle name="Normal 5 2 3 3 7 2" xfId="6868" xr:uid="{00000000-0005-0000-0000-0000AA180000}"/>
    <cellStyle name="Normal 5 2 3 3 7 2 2" xfId="15310" xr:uid="{37811D07-E7A5-43E9-90E2-740A61BB089F}"/>
    <cellStyle name="Normal 5 2 3 3 7 3" xfId="11092" xr:uid="{C858FC30-67D1-45CB-B59D-D91310FD9820}"/>
    <cellStyle name="Normal 5 2 3 3 8" xfId="4803" xr:uid="{00000000-0005-0000-0000-0000AB180000}"/>
    <cellStyle name="Normal 5 2 3 3 8 2" xfId="13245" xr:uid="{F779C316-69DA-4070-9762-BDF2631FC15F}"/>
    <cellStyle name="Normal 5 2 3 3 9" xfId="9027" xr:uid="{0DB9B076-6030-4D15-86D5-9B3156757B22}"/>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6AB82D0E-B0C9-40C4-9236-8B4EF365635F}"/>
    <cellStyle name="Normal 5 2 3 4 2 2 3" xfId="11587" xr:uid="{CD60DF62-40B8-4FD1-956E-131CA4C66222}"/>
    <cellStyle name="Normal 5 2 3 4 2 3" xfId="5218" xr:uid="{00000000-0005-0000-0000-0000B0180000}"/>
    <cellStyle name="Normal 5 2 3 4 2 3 2" xfId="13660" xr:uid="{9146BD65-3BAB-40E9-BFBA-038212FF5F6E}"/>
    <cellStyle name="Normal 5 2 3 4 2 4" xfId="9442" xr:uid="{FC564C99-730B-400A-ACC7-8B4161F95932}"/>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DFD28D82-3BE0-435A-BB3A-94E2A708EC2F}"/>
    <cellStyle name="Normal 5 2 3 4 3 2 3" xfId="12000" xr:uid="{97C981BB-8A79-4257-9D27-FC1D503F73EC}"/>
    <cellStyle name="Normal 5 2 3 4 3 3" xfId="5631" xr:uid="{00000000-0005-0000-0000-0000B4180000}"/>
    <cellStyle name="Normal 5 2 3 4 3 3 2" xfId="14073" xr:uid="{13AF2F1A-21AD-4D2B-B055-FB0496BCC1BB}"/>
    <cellStyle name="Normal 5 2 3 4 3 4" xfId="9855" xr:uid="{9AB6FD0C-E234-49FA-B23B-C0BB49C905B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E8A6F033-11A2-46DF-8235-30A7121319C5}"/>
    <cellStyle name="Normal 5 2 3 4 4 2 3" xfId="12413" xr:uid="{A39FDF37-E863-4DF8-85F6-71D8081A038A}"/>
    <cellStyle name="Normal 5 2 3 4 4 3" xfId="6044" xr:uid="{00000000-0005-0000-0000-0000B8180000}"/>
    <cellStyle name="Normal 5 2 3 4 4 3 2" xfId="14486" xr:uid="{0A53860B-C94D-4F12-86E8-55EA838C86EE}"/>
    <cellStyle name="Normal 5 2 3 4 4 4" xfId="10268" xr:uid="{C0CE1CAB-A2BA-47C2-B1C5-4E3437DECBCA}"/>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464DFC28-5926-4046-9E8F-E6D42970C71E}"/>
    <cellStyle name="Normal 5 2 3 4 5 2 3" xfId="12826" xr:uid="{76BC7FE5-5BF8-4083-963C-F3DABFFCCAFF}"/>
    <cellStyle name="Normal 5 2 3 4 5 3" xfId="6457" xr:uid="{00000000-0005-0000-0000-0000BC180000}"/>
    <cellStyle name="Normal 5 2 3 4 5 3 2" xfId="14899" xr:uid="{EE645BC7-FE72-4ADE-AF2A-43B6C3EBD9EB}"/>
    <cellStyle name="Normal 5 2 3 4 5 4" xfId="10681" xr:uid="{1C21E5F1-1201-4FAB-9CCA-0440E27ED213}"/>
    <cellStyle name="Normal 5 2 3 4 6" xfId="2586" xr:uid="{00000000-0005-0000-0000-0000BD180000}"/>
    <cellStyle name="Normal 5 2 3 4 6 2" xfId="6870" xr:uid="{00000000-0005-0000-0000-0000BE180000}"/>
    <cellStyle name="Normal 5 2 3 4 6 2 2" xfId="15312" xr:uid="{405FDCF8-C48C-4BB0-ABCE-BBAE42B4673F}"/>
    <cellStyle name="Normal 5 2 3 4 6 3" xfId="11094" xr:uid="{D59C4BCA-FE1F-48F7-8D31-4EFBEFD021A2}"/>
    <cellStyle name="Normal 5 2 3 4 7" xfId="4805" xr:uid="{00000000-0005-0000-0000-0000BF180000}"/>
    <cellStyle name="Normal 5 2 3 4 7 2" xfId="13247" xr:uid="{9249DB85-D8F5-4550-9B9B-D178929AE3B8}"/>
    <cellStyle name="Normal 5 2 3 4 8" xfId="9029" xr:uid="{B05461CA-5910-473E-B21A-DCF612947B83}"/>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8A782894-EC2C-46C2-AC43-CFBBB0E571A0}"/>
    <cellStyle name="Normal 5 2 3 5 2 3" xfId="11580" xr:uid="{12F5BFFF-7DD6-45AD-9A80-8C9BF7289939}"/>
    <cellStyle name="Normal 5 2 3 5 3" xfId="5211" xr:uid="{00000000-0005-0000-0000-0000C3180000}"/>
    <cellStyle name="Normal 5 2 3 5 3 2" xfId="13653" xr:uid="{EE54DAB7-3AA8-4D29-A974-24E88192BA50}"/>
    <cellStyle name="Normal 5 2 3 5 4" xfId="9435" xr:uid="{620EF371-2551-42E8-A1D9-04C97B96FEA3}"/>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372AE76-7962-4F59-8BC2-262F761EA8BA}"/>
    <cellStyle name="Normal 5 2 3 6 2 3" xfId="11993" xr:uid="{A44171E2-9912-4A69-A8DE-F1002DE6A1C4}"/>
    <cellStyle name="Normal 5 2 3 6 3" xfId="5624" xr:uid="{00000000-0005-0000-0000-0000C7180000}"/>
    <cellStyle name="Normal 5 2 3 6 3 2" xfId="14066" xr:uid="{8B7AEB9A-891F-44A7-9B5C-5CE84818A9AB}"/>
    <cellStyle name="Normal 5 2 3 6 4" xfId="9848" xr:uid="{02E1627F-6650-4DD1-BB73-0672A1FB05FF}"/>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5A361620-4038-4B05-A44F-E5E7588C677A}"/>
    <cellStyle name="Normal 5 2 3 7 2 3" xfId="12406" xr:uid="{21334A76-3E3C-4195-B997-9C91F8BC87BD}"/>
    <cellStyle name="Normal 5 2 3 7 3" xfId="6037" xr:uid="{00000000-0005-0000-0000-0000CB180000}"/>
    <cellStyle name="Normal 5 2 3 7 3 2" xfId="14479" xr:uid="{86A409EE-CF4F-4418-9BC6-D58A7379D8E9}"/>
    <cellStyle name="Normal 5 2 3 7 4" xfId="10261" xr:uid="{006A1BD7-6CC9-4502-BE2B-E69EF967AD69}"/>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3126C30-83EC-4AA8-B5E2-4F0C6852AD80}"/>
    <cellStyle name="Normal 5 2 3 8 2 3" xfId="12819" xr:uid="{A600E816-9BBC-4440-B863-FD0AF634CAED}"/>
    <cellStyle name="Normal 5 2 3 8 3" xfId="6450" xr:uid="{00000000-0005-0000-0000-0000CF180000}"/>
    <cellStyle name="Normal 5 2 3 8 3 2" xfId="14892" xr:uid="{6781FA46-50F0-45BE-92E3-B4F86F615BE3}"/>
    <cellStyle name="Normal 5 2 3 8 4" xfId="10674" xr:uid="{3F34936C-BE0F-4826-9D3B-B2B09FA54DBC}"/>
    <cellStyle name="Normal 5 2 3 9" xfId="2579" xr:uid="{00000000-0005-0000-0000-0000D0180000}"/>
    <cellStyle name="Normal 5 2 3 9 2" xfId="6863" xr:uid="{00000000-0005-0000-0000-0000D1180000}"/>
    <cellStyle name="Normal 5 2 3 9 2 2" xfId="15305" xr:uid="{DEC8210E-7619-48CD-B4D9-BE0BD62F4D6F}"/>
    <cellStyle name="Normal 5 2 3 9 3" xfId="11087" xr:uid="{F12DFCAA-396E-4B94-A27A-49E716F90A8C}"/>
    <cellStyle name="Normal 5 2 4" xfId="432" xr:uid="{00000000-0005-0000-0000-0000D2180000}"/>
    <cellStyle name="Normal 5 2 4 10" xfId="9030" xr:uid="{AE820D50-D1C4-4E57-9616-BABC3E10504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BB040E6A-C415-427F-A302-5F7A8F62CF69}"/>
    <cellStyle name="Normal 5 2 4 2 2 2 2 3" xfId="11590" xr:uid="{06146F32-7DAD-489B-99AB-5BB691A28EBB}"/>
    <cellStyle name="Normal 5 2 4 2 2 2 3" xfId="5221" xr:uid="{00000000-0005-0000-0000-0000D8180000}"/>
    <cellStyle name="Normal 5 2 4 2 2 2 3 2" xfId="13663" xr:uid="{E2F7A052-07BD-4067-9C69-EF6DDAB94D19}"/>
    <cellStyle name="Normal 5 2 4 2 2 2 4" xfId="9445" xr:uid="{65FCA52C-F3CC-434D-A27F-1678470A4ABE}"/>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963E39D7-D943-4A89-8166-7E8B80754E53}"/>
    <cellStyle name="Normal 5 2 4 2 2 3 2 3" xfId="12003" xr:uid="{B6E147F1-44B4-477E-8E96-7787A28731FE}"/>
    <cellStyle name="Normal 5 2 4 2 2 3 3" xfId="5634" xr:uid="{00000000-0005-0000-0000-0000DC180000}"/>
    <cellStyle name="Normal 5 2 4 2 2 3 3 2" xfId="14076" xr:uid="{0DEC0671-1EC2-4DD6-BF43-A39092881674}"/>
    <cellStyle name="Normal 5 2 4 2 2 3 4" xfId="9858" xr:uid="{40C42E3B-3166-4C80-AE89-1B4E3C3A9332}"/>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ECFDCF0F-4F7A-4197-8CCA-8B7E18C67156}"/>
    <cellStyle name="Normal 5 2 4 2 2 4 2 3" xfId="12416" xr:uid="{37C1B56B-918A-4A0C-AEB3-774461790422}"/>
    <cellStyle name="Normal 5 2 4 2 2 4 3" xfId="6047" xr:uid="{00000000-0005-0000-0000-0000E0180000}"/>
    <cellStyle name="Normal 5 2 4 2 2 4 3 2" xfId="14489" xr:uid="{92A7C596-998F-44FB-A3B6-AA4C53882D79}"/>
    <cellStyle name="Normal 5 2 4 2 2 4 4" xfId="10271" xr:uid="{545AACDF-F786-45E6-B90F-2EF8EF78E736}"/>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E7FFC396-313B-4DC0-97DF-107A4EBA9EDD}"/>
    <cellStyle name="Normal 5 2 4 2 2 5 2 3" xfId="12829" xr:uid="{08E96F69-495B-4D58-BAC3-DE864160A7B2}"/>
    <cellStyle name="Normal 5 2 4 2 2 5 3" xfId="6460" xr:uid="{00000000-0005-0000-0000-0000E4180000}"/>
    <cellStyle name="Normal 5 2 4 2 2 5 3 2" xfId="14902" xr:uid="{CC31C0ED-4958-411B-8AFE-2588E87F8E68}"/>
    <cellStyle name="Normal 5 2 4 2 2 5 4" xfId="10684" xr:uid="{C48247B0-E867-4A34-9912-4D6E26CE0F54}"/>
    <cellStyle name="Normal 5 2 4 2 2 6" xfId="2589" xr:uid="{00000000-0005-0000-0000-0000E5180000}"/>
    <cellStyle name="Normal 5 2 4 2 2 6 2" xfId="6873" xr:uid="{00000000-0005-0000-0000-0000E6180000}"/>
    <cellStyle name="Normal 5 2 4 2 2 6 2 2" xfId="15315" xr:uid="{D72D5AD1-46ED-43C0-82CA-D042B0A388CE}"/>
    <cellStyle name="Normal 5 2 4 2 2 6 3" xfId="11097" xr:uid="{527B2198-3333-4626-BFDD-8EE2972A1B43}"/>
    <cellStyle name="Normal 5 2 4 2 2 7" xfId="4808" xr:uid="{00000000-0005-0000-0000-0000E7180000}"/>
    <cellStyle name="Normal 5 2 4 2 2 7 2" xfId="13250" xr:uid="{1DF321DA-F586-450F-8972-4F2C4D877A1C}"/>
    <cellStyle name="Normal 5 2 4 2 2 8" xfId="9032" xr:uid="{66BD14C4-A25C-4AE3-819B-3FB5F4F8176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8F80BC77-7371-4409-AD87-CAE0938A6703}"/>
    <cellStyle name="Normal 5 2 4 2 3 2 3" xfId="11589" xr:uid="{1E0093F0-3FF2-4CC0-A02E-6D84E94F4568}"/>
    <cellStyle name="Normal 5 2 4 2 3 3" xfId="5220" xr:uid="{00000000-0005-0000-0000-0000EB180000}"/>
    <cellStyle name="Normal 5 2 4 2 3 3 2" xfId="13662" xr:uid="{3ED1C77E-DA29-4464-B814-5C11D39FDD5A}"/>
    <cellStyle name="Normal 5 2 4 2 3 4" xfId="9444" xr:uid="{FC1C30CB-2C96-4A49-B51B-7D4730D97ED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928A6A32-18DC-4FE4-8912-58993EB1437C}"/>
    <cellStyle name="Normal 5 2 4 2 4 2 3" xfId="12002" xr:uid="{76CFC67C-846D-44BA-982D-22655F2C7C44}"/>
    <cellStyle name="Normal 5 2 4 2 4 3" xfId="5633" xr:uid="{00000000-0005-0000-0000-0000EF180000}"/>
    <cellStyle name="Normal 5 2 4 2 4 3 2" xfId="14075" xr:uid="{C444A6DF-43AA-44D8-8665-DE9B2B238E99}"/>
    <cellStyle name="Normal 5 2 4 2 4 4" xfId="9857" xr:uid="{40146CBF-8B5D-4198-B22F-62D807AF9785}"/>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3ECE0855-7825-42AF-84B5-A980B7E7FA4D}"/>
    <cellStyle name="Normal 5 2 4 2 5 2 3" xfId="12415" xr:uid="{CA34A765-E1D1-4887-AE87-9E73DDC119C8}"/>
    <cellStyle name="Normal 5 2 4 2 5 3" xfId="6046" xr:uid="{00000000-0005-0000-0000-0000F3180000}"/>
    <cellStyle name="Normal 5 2 4 2 5 3 2" xfId="14488" xr:uid="{C7B70062-669D-4DA8-AC87-BE2BECBF7593}"/>
    <cellStyle name="Normal 5 2 4 2 5 4" xfId="10270" xr:uid="{90C5C895-7FFA-4745-913C-A2C779726B8C}"/>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2CB47F78-B2BE-4A99-AD11-CB5C6DA20EF3}"/>
    <cellStyle name="Normal 5 2 4 2 6 2 3" xfId="12828" xr:uid="{29C46C55-946F-4730-8883-786D7455E5B5}"/>
    <cellStyle name="Normal 5 2 4 2 6 3" xfId="6459" xr:uid="{00000000-0005-0000-0000-0000F7180000}"/>
    <cellStyle name="Normal 5 2 4 2 6 3 2" xfId="14901" xr:uid="{AE587661-C733-4629-AFC4-E4B0CB7C5685}"/>
    <cellStyle name="Normal 5 2 4 2 6 4" xfId="10683" xr:uid="{2592D172-D801-46CD-AFF1-066F471A732B}"/>
    <cellStyle name="Normal 5 2 4 2 7" xfId="2588" xr:uid="{00000000-0005-0000-0000-0000F8180000}"/>
    <cellStyle name="Normal 5 2 4 2 7 2" xfId="6872" xr:uid="{00000000-0005-0000-0000-0000F9180000}"/>
    <cellStyle name="Normal 5 2 4 2 7 2 2" xfId="15314" xr:uid="{680E842B-F1EE-413A-87B0-C4DAB1B5F230}"/>
    <cellStyle name="Normal 5 2 4 2 7 3" xfId="11096" xr:uid="{BF923663-6193-4576-9290-3541F307EA73}"/>
    <cellStyle name="Normal 5 2 4 2 8" xfId="4807" xr:uid="{00000000-0005-0000-0000-0000FA180000}"/>
    <cellStyle name="Normal 5 2 4 2 8 2" xfId="13249" xr:uid="{3DFC7DA6-80B7-490A-8386-D7B7CA27BBF9}"/>
    <cellStyle name="Normal 5 2 4 2 9" xfId="9031" xr:uid="{3F92873D-E7FE-4FCA-B0B9-42B52F56A36E}"/>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D8A9594D-3305-4513-AAE5-E793486743B6}"/>
    <cellStyle name="Normal 5 2 4 3 2 2 3" xfId="11591" xr:uid="{3C1EA217-2506-4562-A9E5-E51D1F890FA2}"/>
    <cellStyle name="Normal 5 2 4 3 2 3" xfId="5222" xr:uid="{00000000-0005-0000-0000-0000FF180000}"/>
    <cellStyle name="Normal 5 2 4 3 2 3 2" xfId="13664" xr:uid="{EDB8CAB6-878D-4BCB-BEEE-35052406E3E8}"/>
    <cellStyle name="Normal 5 2 4 3 2 4" xfId="9446" xr:uid="{DB38F2AE-60D3-42B7-B33F-88531524CCA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791F1184-C8F2-4706-8A53-091F4DE6D421}"/>
    <cellStyle name="Normal 5 2 4 3 3 2 3" xfId="12004" xr:uid="{7E11D4E9-EDFF-444F-8ED8-2DE6728E304A}"/>
    <cellStyle name="Normal 5 2 4 3 3 3" xfId="5635" xr:uid="{00000000-0005-0000-0000-000003190000}"/>
    <cellStyle name="Normal 5 2 4 3 3 3 2" xfId="14077" xr:uid="{BCE6A7E4-C6AD-4A61-8AA1-9CB891B5516C}"/>
    <cellStyle name="Normal 5 2 4 3 3 4" xfId="9859" xr:uid="{8F848B7A-F649-4E4F-AB62-51E99C5A078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79A566D5-7579-44ED-8C14-B48A8DF1D37A}"/>
    <cellStyle name="Normal 5 2 4 3 4 2 3" xfId="12417" xr:uid="{B94E0A60-AF1E-4E7F-BC6E-76C1597FD644}"/>
    <cellStyle name="Normal 5 2 4 3 4 3" xfId="6048" xr:uid="{00000000-0005-0000-0000-000007190000}"/>
    <cellStyle name="Normal 5 2 4 3 4 3 2" xfId="14490" xr:uid="{41BAFD1E-AEF9-4A0C-B20B-2F80B8CC37D7}"/>
    <cellStyle name="Normal 5 2 4 3 4 4" xfId="10272" xr:uid="{E90571C4-53BF-4E42-8435-95D7709A5E2C}"/>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55EBF514-DED6-4427-B429-BBB7187CB93F}"/>
    <cellStyle name="Normal 5 2 4 3 5 2 3" xfId="12830" xr:uid="{06F44BD3-8EB4-4635-AA72-BC551A767968}"/>
    <cellStyle name="Normal 5 2 4 3 5 3" xfId="6461" xr:uid="{00000000-0005-0000-0000-00000B190000}"/>
    <cellStyle name="Normal 5 2 4 3 5 3 2" xfId="14903" xr:uid="{09EB1B5F-2565-4EE0-B0CF-3B876CA85A30}"/>
    <cellStyle name="Normal 5 2 4 3 5 4" xfId="10685" xr:uid="{4E5E7A9B-9C4B-4B56-B109-D4C0D432DA14}"/>
    <cellStyle name="Normal 5 2 4 3 6" xfId="2590" xr:uid="{00000000-0005-0000-0000-00000C190000}"/>
    <cellStyle name="Normal 5 2 4 3 6 2" xfId="6874" xr:uid="{00000000-0005-0000-0000-00000D190000}"/>
    <cellStyle name="Normal 5 2 4 3 6 2 2" xfId="15316" xr:uid="{E88CDCC0-2AC9-43B5-ACD9-59DA2D7DA403}"/>
    <cellStyle name="Normal 5 2 4 3 6 3" xfId="11098" xr:uid="{1192D7D0-ED64-4E6D-9CD8-8A704C129A43}"/>
    <cellStyle name="Normal 5 2 4 3 7" xfId="4809" xr:uid="{00000000-0005-0000-0000-00000E190000}"/>
    <cellStyle name="Normal 5 2 4 3 7 2" xfId="13251" xr:uid="{2F1B35B9-5992-4321-9979-AD6BCE9B017D}"/>
    <cellStyle name="Normal 5 2 4 3 8" xfId="9033" xr:uid="{5DFE0474-E07E-4319-B2C9-532AC82FA924}"/>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5D413A7D-9BE1-45DD-9473-053B3651CF1E}"/>
    <cellStyle name="Normal 5 2 4 4 2 3" xfId="11588" xr:uid="{A7A1F400-BEF6-4626-B23D-9414514FF697}"/>
    <cellStyle name="Normal 5 2 4 4 3" xfId="5219" xr:uid="{00000000-0005-0000-0000-000012190000}"/>
    <cellStyle name="Normal 5 2 4 4 3 2" xfId="13661" xr:uid="{77E62261-0434-4679-9127-00A8BDC610CF}"/>
    <cellStyle name="Normal 5 2 4 4 4" xfId="9443" xr:uid="{754AAB44-1729-4587-89A7-876A630B08B1}"/>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C93B291D-554C-4F44-A5B4-EA03DE4171EF}"/>
    <cellStyle name="Normal 5 2 4 5 2 3" xfId="12001" xr:uid="{9001C691-7DDC-48ED-B10F-85E68718639C}"/>
    <cellStyle name="Normal 5 2 4 5 3" xfId="5632" xr:uid="{00000000-0005-0000-0000-000016190000}"/>
    <cellStyle name="Normal 5 2 4 5 3 2" xfId="14074" xr:uid="{F15EE871-3C9E-42A6-B9FE-E6256A1CAC71}"/>
    <cellStyle name="Normal 5 2 4 5 4" xfId="9856" xr:uid="{23F9C110-534F-473A-B072-0385613F0403}"/>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FE158D31-C921-4D42-9567-F920352CCB00}"/>
    <cellStyle name="Normal 5 2 4 6 2 3" xfId="12414" xr:uid="{E26865DD-49A9-4A63-951C-7C66AECB67DC}"/>
    <cellStyle name="Normal 5 2 4 6 3" xfId="6045" xr:uid="{00000000-0005-0000-0000-00001A190000}"/>
    <cellStyle name="Normal 5 2 4 6 3 2" xfId="14487" xr:uid="{A38236B0-2BD7-42CF-A1D4-594823631A64}"/>
    <cellStyle name="Normal 5 2 4 6 4" xfId="10269" xr:uid="{A93DA0FA-C1A2-4E43-82FC-B7CB0BECFDC0}"/>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1E2D1ED1-8A03-4433-87C9-8E194379285B}"/>
    <cellStyle name="Normal 5 2 4 7 2 3" xfId="12827" xr:uid="{3D42FEB6-7871-4400-9ED1-C6BC9C43834E}"/>
    <cellStyle name="Normal 5 2 4 7 3" xfId="6458" xr:uid="{00000000-0005-0000-0000-00001E190000}"/>
    <cellStyle name="Normal 5 2 4 7 3 2" xfId="14900" xr:uid="{CB1863F4-131E-4824-9B7A-36442C121FE8}"/>
    <cellStyle name="Normal 5 2 4 7 4" xfId="10682" xr:uid="{0E673A61-B71C-426D-999E-7EBF9B0AF8DC}"/>
    <cellStyle name="Normal 5 2 4 8" xfId="2587" xr:uid="{00000000-0005-0000-0000-00001F190000}"/>
    <cellStyle name="Normal 5 2 4 8 2" xfId="6871" xr:uid="{00000000-0005-0000-0000-000020190000}"/>
    <cellStyle name="Normal 5 2 4 8 2 2" xfId="15313" xr:uid="{8DB6B58D-6F4A-444F-880F-E250E53EFA97}"/>
    <cellStyle name="Normal 5 2 4 8 3" xfId="11095" xr:uid="{3B1CE8CB-4232-422F-87C7-BE8C5409559F}"/>
    <cellStyle name="Normal 5 2 4 9" xfId="4806" xr:uid="{00000000-0005-0000-0000-000021190000}"/>
    <cellStyle name="Normal 5 2 4 9 2" xfId="13248" xr:uid="{B5654C63-4F15-496A-B3EA-B4E0E95C0303}"/>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A07CBEFB-9507-4F08-AF0D-19CABA69C247}"/>
    <cellStyle name="Normal 5 2 5 2 2 2 3" xfId="11593" xr:uid="{D8141E60-C5A6-4550-A0A4-8B6DC9C5CFE3}"/>
    <cellStyle name="Normal 5 2 5 2 2 3" xfId="5224" xr:uid="{00000000-0005-0000-0000-000027190000}"/>
    <cellStyle name="Normal 5 2 5 2 2 3 2" xfId="13666" xr:uid="{060A94A0-045F-484E-A316-72B1A6FF610D}"/>
    <cellStyle name="Normal 5 2 5 2 2 4" xfId="9448" xr:uid="{55CF2E99-AFB0-4365-883F-6E130A45F2EC}"/>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FF75F42-17C4-413C-AB08-E3F9FEF5BBC3}"/>
    <cellStyle name="Normal 5 2 5 2 3 2 3" xfId="12006" xr:uid="{F842BA35-040E-4035-B443-53E70E1CF98E}"/>
    <cellStyle name="Normal 5 2 5 2 3 3" xfId="5637" xr:uid="{00000000-0005-0000-0000-00002B190000}"/>
    <cellStyle name="Normal 5 2 5 2 3 3 2" xfId="14079" xr:uid="{D570B16E-16B5-4E0B-A415-833A3D069225}"/>
    <cellStyle name="Normal 5 2 5 2 3 4" xfId="9861" xr:uid="{9072485D-9A00-4EA5-AB50-98F93CBA1587}"/>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D9DC65E3-C18E-4E5B-849E-D03A6E907E07}"/>
    <cellStyle name="Normal 5 2 5 2 4 2 3" xfId="12419" xr:uid="{B3D2B551-4886-4F29-A129-E5DE1F7F9DBF}"/>
    <cellStyle name="Normal 5 2 5 2 4 3" xfId="6050" xr:uid="{00000000-0005-0000-0000-00002F190000}"/>
    <cellStyle name="Normal 5 2 5 2 4 3 2" xfId="14492" xr:uid="{3C33E1CF-6721-4EE0-AEAA-691AF11C0BD3}"/>
    <cellStyle name="Normal 5 2 5 2 4 4" xfId="10274" xr:uid="{7D26F326-44A2-4ADF-9903-6E0A1DDA14B7}"/>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5147CECB-4087-478E-8710-4BD26E3F6C0D}"/>
    <cellStyle name="Normal 5 2 5 2 5 2 3" xfId="12832" xr:uid="{C6FADA6A-DADF-4F8B-88AC-D92C3AA00D33}"/>
    <cellStyle name="Normal 5 2 5 2 5 3" xfId="6463" xr:uid="{00000000-0005-0000-0000-000033190000}"/>
    <cellStyle name="Normal 5 2 5 2 5 3 2" xfId="14905" xr:uid="{1D0506FF-BC0C-4AD8-8A6E-4AA3F843B937}"/>
    <cellStyle name="Normal 5 2 5 2 5 4" xfId="10687" xr:uid="{8A30AAE0-96FF-47D8-858D-03737A6FB663}"/>
    <cellStyle name="Normal 5 2 5 2 6" xfId="2592" xr:uid="{00000000-0005-0000-0000-000034190000}"/>
    <cellStyle name="Normal 5 2 5 2 6 2" xfId="6876" xr:uid="{00000000-0005-0000-0000-000035190000}"/>
    <cellStyle name="Normal 5 2 5 2 6 2 2" xfId="15318" xr:uid="{8E06AC9F-8562-4BE3-91D9-7352721AD5E4}"/>
    <cellStyle name="Normal 5 2 5 2 6 3" xfId="11100" xr:uid="{8385BAD6-5385-4AC9-937F-7D6106D15D07}"/>
    <cellStyle name="Normal 5 2 5 2 7" xfId="4811" xr:uid="{00000000-0005-0000-0000-000036190000}"/>
    <cellStyle name="Normal 5 2 5 2 7 2" xfId="13253" xr:uid="{08E70CC5-B03E-4C9C-94BA-6198506EF2BC}"/>
    <cellStyle name="Normal 5 2 5 2 8" xfId="9035" xr:uid="{1DF8E2D3-6040-4B6D-B13A-4FBCCB940EF4}"/>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7235C99-ABBE-4784-96D3-59DD55D02F76}"/>
    <cellStyle name="Normal 5 2 5 3 2 3" xfId="11592" xr:uid="{E0CDC86E-FFC6-45C8-9C23-2DA0BC3FF6BE}"/>
    <cellStyle name="Normal 5 2 5 3 3" xfId="5223" xr:uid="{00000000-0005-0000-0000-00003A190000}"/>
    <cellStyle name="Normal 5 2 5 3 3 2" xfId="13665" xr:uid="{AC3EFDD3-2F77-4C46-BFFB-608DE70BDAD3}"/>
    <cellStyle name="Normal 5 2 5 3 4" xfId="9447" xr:uid="{9B9E3DD2-B5C6-4C3B-8798-BBA204303376}"/>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D381C3D3-56DE-4E23-A05B-8FE60B5A5AC2}"/>
    <cellStyle name="Normal 5 2 5 4 2 3" xfId="12005" xr:uid="{91572A7F-C40B-44C0-8EFA-593F55487FF4}"/>
    <cellStyle name="Normal 5 2 5 4 3" xfId="5636" xr:uid="{00000000-0005-0000-0000-00003E190000}"/>
    <cellStyle name="Normal 5 2 5 4 3 2" xfId="14078" xr:uid="{BDDB3E41-5D94-497B-A359-A96CA4A69920}"/>
    <cellStyle name="Normal 5 2 5 4 4" xfId="9860" xr:uid="{042B4106-BAE5-490B-9DB9-395757973864}"/>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10286A5E-DE24-4990-9C92-F14D9973A554}"/>
    <cellStyle name="Normal 5 2 5 5 2 3" xfId="12418" xr:uid="{D18EF910-E9D2-47D8-8C64-6C5B601734EF}"/>
    <cellStyle name="Normal 5 2 5 5 3" xfId="6049" xr:uid="{00000000-0005-0000-0000-000042190000}"/>
    <cellStyle name="Normal 5 2 5 5 3 2" xfId="14491" xr:uid="{FB6E95DC-0F94-444F-AF80-F9466DE84EBF}"/>
    <cellStyle name="Normal 5 2 5 5 4" xfId="10273" xr:uid="{ABEFE592-EAF3-4647-82F5-0B8AB25EF941}"/>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2C83572B-DA06-4EB9-9D51-936740222CB0}"/>
    <cellStyle name="Normal 5 2 5 6 2 3" xfId="12831" xr:uid="{758A30F9-8FA0-41B4-B4D8-9D87235F5840}"/>
    <cellStyle name="Normal 5 2 5 6 3" xfId="6462" xr:uid="{00000000-0005-0000-0000-000046190000}"/>
    <cellStyle name="Normal 5 2 5 6 3 2" xfId="14904" xr:uid="{CDE01AFE-B182-4357-8906-B1AAFFCEF890}"/>
    <cellStyle name="Normal 5 2 5 6 4" xfId="10686" xr:uid="{DD2DE1B2-13BC-4380-8885-AB14E8EF65E0}"/>
    <cellStyle name="Normal 5 2 5 7" xfId="2591" xr:uid="{00000000-0005-0000-0000-000047190000}"/>
    <cellStyle name="Normal 5 2 5 7 2" xfId="6875" xr:uid="{00000000-0005-0000-0000-000048190000}"/>
    <cellStyle name="Normal 5 2 5 7 2 2" xfId="15317" xr:uid="{24912166-C6F0-4A0A-A496-6E3E0D788FD6}"/>
    <cellStyle name="Normal 5 2 5 7 3" xfId="11099" xr:uid="{B4057B6A-8BC6-4EB5-B77E-B20E7E3F8759}"/>
    <cellStyle name="Normal 5 2 5 8" xfId="4810" xr:uid="{00000000-0005-0000-0000-000049190000}"/>
    <cellStyle name="Normal 5 2 5 8 2" xfId="13252" xr:uid="{17066E72-4112-431E-BD30-6A36179B558B}"/>
    <cellStyle name="Normal 5 2 5 9" xfId="9034" xr:uid="{E421340E-64E3-401F-9B77-672166C3211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E9E39FFD-766B-4F49-BBBE-2F0E9BB07143}"/>
    <cellStyle name="Normal 5 2 6 2 2 3" xfId="11594" xr:uid="{003E7CF9-BC5F-462A-87C6-9B252335947C}"/>
    <cellStyle name="Normal 5 2 6 2 3" xfId="5225" xr:uid="{00000000-0005-0000-0000-00004E190000}"/>
    <cellStyle name="Normal 5 2 6 2 3 2" xfId="13667" xr:uid="{F211DD5C-8510-426F-9481-16A4502074D8}"/>
    <cellStyle name="Normal 5 2 6 2 4" xfId="9449" xr:uid="{2BB1FF68-C653-43C2-987E-AB0753D1C626}"/>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6A59F8B8-4EF1-4073-956C-F65F3FF55C89}"/>
    <cellStyle name="Normal 5 2 6 3 2 3" xfId="12007" xr:uid="{4386D4FB-9668-4B91-A330-B55F9ACBA4E4}"/>
    <cellStyle name="Normal 5 2 6 3 3" xfId="5638" xr:uid="{00000000-0005-0000-0000-000052190000}"/>
    <cellStyle name="Normal 5 2 6 3 3 2" xfId="14080" xr:uid="{D4CFA4AA-1D97-44ED-AAE1-B9EDF3CA81C6}"/>
    <cellStyle name="Normal 5 2 6 3 4" xfId="9862" xr:uid="{1C285DA7-586C-40AA-A83F-9013FE83AEC5}"/>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0EB6BC3C-BE58-41DD-862A-8B9A3B3AF4C6}"/>
    <cellStyle name="Normal 5 2 6 4 2 3" xfId="12420" xr:uid="{CC79AEB5-5CF6-4225-823E-F68A853C9ABF}"/>
    <cellStyle name="Normal 5 2 6 4 3" xfId="6051" xr:uid="{00000000-0005-0000-0000-000056190000}"/>
    <cellStyle name="Normal 5 2 6 4 3 2" xfId="14493" xr:uid="{2DB28EDE-ED27-49D7-BA76-5D4EBCBF9D2F}"/>
    <cellStyle name="Normal 5 2 6 4 4" xfId="10275" xr:uid="{9E72AB17-CB37-48E2-9CCD-388888DB8ED4}"/>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66F4C271-81B0-40C6-9B77-FAADF4BEEF2D}"/>
    <cellStyle name="Normal 5 2 6 5 2 3" xfId="12833" xr:uid="{16AE527C-B020-4710-A704-7F0C4A507B12}"/>
    <cellStyle name="Normal 5 2 6 5 3" xfId="6464" xr:uid="{00000000-0005-0000-0000-00005A190000}"/>
    <cellStyle name="Normal 5 2 6 5 3 2" xfId="14906" xr:uid="{D0C7F6BD-8174-40DC-BF18-7928F71D33FF}"/>
    <cellStyle name="Normal 5 2 6 5 4" xfId="10688" xr:uid="{C56D95B7-DA7E-4B77-A912-8658147AA1D3}"/>
    <cellStyle name="Normal 5 2 6 6" xfId="2593" xr:uid="{00000000-0005-0000-0000-00005B190000}"/>
    <cellStyle name="Normal 5 2 6 6 2" xfId="6877" xr:uid="{00000000-0005-0000-0000-00005C190000}"/>
    <cellStyle name="Normal 5 2 6 6 2 2" xfId="15319" xr:uid="{C3C95F5D-9781-4B55-ABAC-4E5108F5221D}"/>
    <cellStyle name="Normal 5 2 6 6 3" xfId="11101" xr:uid="{A044FF12-6895-4A9E-9BF1-6174F5B9375C}"/>
    <cellStyle name="Normal 5 2 6 7" xfId="4812" xr:uid="{00000000-0005-0000-0000-00005D190000}"/>
    <cellStyle name="Normal 5 2 6 7 2" xfId="13254" xr:uid="{38EE0D3F-2DD4-45AF-B0AA-D4D550BE892B}"/>
    <cellStyle name="Normal 5 2 6 8" xfId="9036" xr:uid="{89DED836-9C44-4713-B14F-D071421D6731}"/>
    <cellStyle name="Normal 5 2 7" xfId="881" xr:uid="{00000000-0005-0000-0000-00005E190000}"/>
    <cellStyle name="Normal 5 2 7 2" xfId="3116" xr:uid="{00000000-0005-0000-0000-00005F190000}"/>
    <cellStyle name="Normal 5 2 7 2 2" xfId="7339" xr:uid="{00000000-0005-0000-0000-000060190000}"/>
    <cellStyle name="Normal 5 2 7 2 2 2" xfId="15781" xr:uid="{66F3A092-089D-4C77-BA9F-B00A2D0D9725}"/>
    <cellStyle name="Normal 5 2 7 2 3" xfId="11563" xr:uid="{035A2C37-AA3E-453B-B3E1-7B0F100A8E9C}"/>
    <cellStyle name="Normal 5 2 7 3" xfId="5194" xr:uid="{00000000-0005-0000-0000-000061190000}"/>
    <cellStyle name="Normal 5 2 7 3 2" xfId="13636" xr:uid="{428E31BE-4FD4-474A-ABEF-B8D4DCBA6344}"/>
    <cellStyle name="Normal 5 2 7 4" xfId="9418" xr:uid="{2E017544-53BD-4B71-8244-50B88D1CBC3A}"/>
    <cellStyle name="Normal 5 2 8" xfId="1299" xr:uid="{00000000-0005-0000-0000-000062190000}"/>
    <cellStyle name="Normal 5 2 8 2" xfId="3529" xr:uid="{00000000-0005-0000-0000-000063190000}"/>
    <cellStyle name="Normal 5 2 8 2 2" xfId="7752" xr:uid="{00000000-0005-0000-0000-000064190000}"/>
    <cellStyle name="Normal 5 2 8 2 2 2" xfId="16194" xr:uid="{7ED0D128-4DC0-40B6-8C24-9A9D49766B89}"/>
    <cellStyle name="Normal 5 2 8 2 3" xfId="11976" xr:uid="{349C05F6-5316-45C6-AF64-F95A944525EA}"/>
    <cellStyle name="Normal 5 2 8 3" xfId="5607" xr:uid="{00000000-0005-0000-0000-000065190000}"/>
    <cellStyle name="Normal 5 2 8 3 2" xfId="14049" xr:uid="{CBA85596-FD8F-4595-84E7-09FF14F28645}"/>
    <cellStyle name="Normal 5 2 8 4" xfId="9831" xr:uid="{AB0DC316-57CC-414A-8208-86239EC123FC}"/>
    <cellStyle name="Normal 5 2 9" xfId="1712" xr:uid="{00000000-0005-0000-0000-000066190000}"/>
    <cellStyle name="Normal 5 2 9 2" xfId="3942" xr:uid="{00000000-0005-0000-0000-000067190000}"/>
    <cellStyle name="Normal 5 2 9 2 2" xfId="8165" xr:uid="{00000000-0005-0000-0000-000068190000}"/>
    <cellStyle name="Normal 5 2 9 2 2 2" xfId="16607" xr:uid="{61783EA4-5C90-4B01-8DC6-7D0C16DCB9BD}"/>
    <cellStyle name="Normal 5 2 9 2 3" xfId="12389" xr:uid="{22231AE7-9271-44CE-B70E-8F0670E2A666}"/>
    <cellStyle name="Normal 5 2 9 3" xfId="6020" xr:uid="{00000000-0005-0000-0000-000069190000}"/>
    <cellStyle name="Normal 5 2 9 3 2" xfId="14462" xr:uid="{00C10E17-5302-4A69-8DD1-0C4B8EE3929B}"/>
    <cellStyle name="Normal 5 2 9 4" xfId="10244" xr:uid="{3E82F4B8-DD06-4589-B1E1-73BA48C08439}"/>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D0336EEF-2645-41E1-B3CD-532DBBA1BFFA}"/>
    <cellStyle name="Normal 5 3 10 2 3" xfId="12834" xr:uid="{6F4C503F-208E-4A8F-A010-95C28DE66D13}"/>
    <cellStyle name="Normal 5 3 10 3" xfId="6465" xr:uid="{00000000-0005-0000-0000-00006E190000}"/>
    <cellStyle name="Normal 5 3 10 3 2" xfId="14907" xr:uid="{A366E6B0-1766-4742-B163-E61386188256}"/>
    <cellStyle name="Normal 5 3 10 4" xfId="10689" xr:uid="{8738DAA9-1CB5-406C-913C-1D273CED8EC7}"/>
    <cellStyle name="Normal 5 3 11" xfId="2594" xr:uid="{00000000-0005-0000-0000-00006F190000}"/>
    <cellStyle name="Normal 5 3 11 2" xfId="6878" xr:uid="{00000000-0005-0000-0000-000070190000}"/>
    <cellStyle name="Normal 5 3 11 2 2" xfId="15320" xr:uid="{E3162299-FA83-4552-9710-256A6EC059F2}"/>
    <cellStyle name="Normal 5 3 11 3" xfId="11102" xr:uid="{8CDB8042-71F4-4C31-B8ED-C296295F21F6}"/>
    <cellStyle name="Normal 5 3 12" xfId="4813" xr:uid="{00000000-0005-0000-0000-000071190000}"/>
    <cellStyle name="Normal 5 3 12 2" xfId="13255" xr:uid="{D6863BA4-842B-4042-9E5A-7B67593A3FF6}"/>
    <cellStyle name="Normal 5 3 13" xfId="9037" xr:uid="{6126DBC2-A80D-4A47-A351-61D0DEA7FD0B}"/>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A3D94572-8552-4F31-BC83-99EF30A60364}"/>
    <cellStyle name="Normal 5 3 3 11" xfId="9038" xr:uid="{C83DBC33-123C-483D-963A-F3AACA5C132A}"/>
    <cellStyle name="Normal 5 3 3 2" xfId="442" xr:uid="{00000000-0005-0000-0000-000076190000}"/>
    <cellStyle name="Normal 5 3 3 2 10" xfId="9039" xr:uid="{4F4D61F9-AEEB-405F-AA8F-837D8DC1F6E2}"/>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C7F31BBC-68A4-4C72-899B-369DBDD892B4}"/>
    <cellStyle name="Normal 5 3 3 2 2 2 2 2 3" xfId="11599" xr:uid="{BB4A03A7-2FD7-4834-A34B-E5BBF10DB8AC}"/>
    <cellStyle name="Normal 5 3 3 2 2 2 2 3" xfId="5230" xr:uid="{00000000-0005-0000-0000-00007C190000}"/>
    <cellStyle name="Normal 5 3 3 2 2 2 2 3 2" xfId="13672" xr:uid="{35E1181F-0A9A-4D0D-BDE1-BF870C89C530}"/>
    <cellStyle name="Normal 5 3 3 2 2 2 2 4" xfId="9454" xr:uid="{4EE3B991-18D1-4C97-B65E-E4FB5B883CC2}"/>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98E87226-5AE5-4AA9-8B1F-8FFD0C0CD127}"/>
    <cellStyle name="Normal 5 3 3 2 2 2 3 2 3" xfId="12012" xr:uid="{C46E88BE-0D67-4630-93D3-4858CA1E8F79}"/>
    <cellStyle name="Normal 5 3 3 2 2 2 3 3" xfId="5643" xr:uid="{00000000-0005-0000-0000-000080190000}"/>
    <cellStyle name="Normal 5 3 3 2 2 2 3 3 2" xfId="14085" xr:uid="{AAD862BA-52D8-4E25-9674-679CDFC4D045}"/>
    <cellStyle name="Normal 5 3 3 2 2 2 3 4" xfId="9867" xr:uid="{1A57741D-6E35-4CD2-9EB1-EB5161FD0A7F}"/>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5A09904-9BD5-4FEA-A281-F30B01A6B399}"/>
    <cellStyle name="Normal 5 3 3 2 2 2 4 2 3" xfId="12425" xr:uid="{952ED40D-A8F4-4D74-B82B-CEFD40DE8B81}"/>
    <cellStyle name="Normal 5 3 3 2 2 2 4 3" xfId="6056" xr:uid="{00000000-0005-0000-0000-000084190000}"/>
    <cellStyle name="Normal 5 3 3 2 2 2 4 3 2" xfId="14498" xr:uid="{CF865601-AC7F-4672-91FD-930D3BA996E5}"/>
    <cellStyle name="Normal 5 3 3 2 2 2 4 4" xfId="10280" xr:uid="{81822E90-0E06-4968-9958-1F86F13B63C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8C7DE087-4312-43C7-A8A7-E625AEA2DEA7}"/>
    <cellStyle name="Normal 5 3 3 2 2 2 5 2 3" xfId="12838" xr:uid="{772A7347-28A9-46A8-BA9B-056A2092CE52}"/>
    <cellStyle name="Normal 5 3 3 2 2 2 5 3" xfId="6469" xr:uid="{00000000-0005-0000-0000-000088190000}"/>
    <cellStyle name="Normal 5 3 3 2 2 2 5 3 2" xfId="14911" xr:uid="{6B1A23C1-F0F3-4C93-AD3C-4D5BF61C50B7}"/>
    <cellStyle name="Normal 5 3 3 2 2 2 5 4" xfId="10693" xr:uid="{71754616-1849-4B54-B6F9-185B7833E937}"/>
    <cellStyle name="Normal 5 3 3 2 2 2 6" xfId="2598" xr:uid="{00000000-0005-0000-0000-000089190000}"/>
    <cellStyle name="Normal 5 3 3 2 2 2 6 2" xfId="6882" xr:uid="{00000000-0005-0000-0000-00008A190000}"/>
    <cellStyle name="Normal 5 3 3 2 2 2 6 2 2" xfId="15324" xr:uid="{7E9E3319-EB2D-41EA-897B-D57C0CAA0B88}"/>
    <cellStyle name="Normal 5 3 3 2 2 2 6 3" xfId="11106" xr:uid="{5AD7828F-B4FC-452E-B87B-BFF033ACA0DE}"/>
    <cellStyle name="Normal 5 3 3 2 2 2 7" xfId="4817" xr:uid="{00000000-0005-0000-0000-00008B190000}"/>
    <cellStyle name="Normal 5 3 3 2 2 2 7 2" xfId="13259" xr:uid="{FFDA90DF-D1C8-4172-BD50-BD6F74341D6C}"/>
    <cellStyle name="Normal 5 3 3 2 2 2 8" xfId="9041" xr:uid="{02227132-3397-4A22-9D6D-B41978973D18}"/>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0C1BB5E2-7432-43DC-B001-D298CC4F0152}"/>
    <cellStyle name="Normal 5 3 3 2 2 3 2 3" xfId="11598" xr:uid="{1BC35770-8F8A-493E-A925-FC8FD4DA189C}"/>
    <cellStyle name="Normal 5 3 3 2 2 3 3" xfId="5229" xr:uid="{00000000-0005-0000-0000-00008F190000}"/>
    <cellStyle name="Normal 5 3 3 2 2 3 3 2" xfId="13671" xr:uid="{6277D5B6-0AB5-45B2-92C8-CDFFB74501F1}"/>
    <cellStyle name="Normal 5 3 3 2 2 3 4" xfId="9453" xr:uid="{B0914582-DE42-4A87-AF21-6BE67FF221F9}"/>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948B9A69-3EFC-4A5C-A7CB-7D738970B166}"/>
    <cellStyle name="Normal 5 3 3 2 2 4 2 3" xfId="12011" xr:uid="{70E6054F-6872-40FC-9017-B6AF248E5B5F}"/>
    <cellStyle name="Normal 5 3 3 2 2 4 3" xfId="5642" xr:uid="{00000000-0005-0000-0000-000093190000}"/>
    <cellStyle name="Normal 5 3 3 2 2 4 3 2" xfId="14084" xr:uid="{D57C723D-26BB-47B4-8EF9-4575298AD4E4}"/>
    <cellStyle name="Normal 5 3 3 2 2 4 4" xfId="9866" xr:uid="{53B4763E-EE31-4B60-8EFE-4697DCF75FC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1711E3AB-FA60-4000-BF17-CB03B16DBB2B}"/>
    <cellStyle name="Normal 5 3 3 2 2 5 2 3" xfId="12424" xr:uid="{AA7938DF-D8D7-4EC8-8E0B-2930E390DC91}"/>
    <cellStyle name="Normal 5 3 3 2 2 5 3" xfId="6055" xr:uid="{00000000-0005-0000-0000-000097190000}"/>
    <cellStyle name="Normal 5 3 3 2 2 5 3 2" xfId="14497" xr:uid="{24599EED-CA71-4041-97F5-209BE3E7AA22}"/>
    <cellStyle name="Normal 5 3 3 2 2 5 4" xfId="10279" xr:uid="{B57DE39A-76C4-4625-A983-404A4FE9F6CD}"/>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1F5855DB-978A-4FE3-826E-CF6D4078A727}"/>
    <cellStyle name="Normal 5 3 3 2 2 6 2 3" xfId="12837" xr:uid="{7ADD7B26-1527-428A-8811-3639496DB5DB}"/>
    <cellStyle name="Normal 5 3 3 2 2 6 3" xfId="6468" xr:uid="{00000000-0005-0000-0000-00009B190000}"/>
    <cellStyle name="Normal 5 3 3 2 2 6 3 2" xfId="14910" xr:uid="{BD2112C5-9734-4549-A165-BD68C977F482}"/>
    <cellStyle name="Normal 5 3 3 2 2 6 4" xfId="10692" xr:uid="{033A76F0-941E-4C11-8663-B50AD2208ACD}"/>
    <cellStyle name="Normal 5 3 3 2 2 7" xfId="2597" xr:uid="{00000000-0005-0000-0000-00009C190000}"/>
    <cellStyle name="Normal 5 3 3 2 2 7 2" xfId="6881" xr:uid="{00000000-0005-0000-0000-00009D190000}"/>
    <cellStyle name="Normal 5 3 3 2 2 7 2 2" xfId="15323" xr:uid="{391DC723-E025-48BF-9DF8-EF9E1C50DEA1}"/>
    <cellStyle name="Normal 5 3 3 2 2 7 3" xfId="11105" xr:uid="{CFDD9F4A-8E78-46CD-A031-97E3754E30F0}"/>
    <cellStyle name="Normal 5 3 3 2 2 8" xfId="4816" xr:uid="{00000000-0005-0000-0000-00009E190000}"/>
    <cellStyle name="Normal 5 3 3 2 2 8 2" xfId="13258" xr:uid="{9594862B-134C-4337-97FF-AA98E680B2C3}"/>
    <cellStyle name="Normal 5 3 3 2 2 9" xfId="9040" xr:uid="{E966441E-5B49-4BA9-AD5A-8A7497941762}"/>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0DE5EDE5-C1CD-49D2-AC42-A6CF6CDB89E4}"/>
    <cellStyle name="Normal 5 3 3 2 3 2 2 3" xfId="11600" xr:uid="{70FAB9A7-4EEA-4372-85B1-8ECDB14322DB}"/>
    <cellStyle name="Normal 5 3 3 2 3 2 3" xfId="5231" xr:uid="{00000000-0005-0000-0000-0000A3190000}"/>
    <cellStyle name="Normal 5 3 3 2 3 2 3 2" xfId="13673" xr:uid="{5F239F82-7847-489B-BEFA-992B0D3C75FF}"/>
    <cellStyle name="Normal 5 3 3 2 3 2 4" xfId="9455" xr:uid="{EBE4F667-BB0E-4951-A936-181890B53056}"/>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C1B4F09E-329F-47B5-A144-80B5F824CE02}"/>
    <cellStyle name="Normal 5 3 3 2 3 3 2 3" xfId="12013" xr:uid="{2C48F370-5B1A-4DE7-A3EE-8F908EABFD1C}"/>
    <cellStyle name="Normal 5 3 3 2 3 3 3" xfId="5644" xr:uid="{00000000-0005-0000-0000-0000A7190000}"/>
    <cellStyle name="Normal 5 3 3 2 3 3 3 2" xfId="14086" xr:uid="{197E3F75-9B0B-4142-8180-C60BC1C67E84}"/>
    <cellStyle name="Normal 5 3 3 2 3 3 4" xfId="9868" xr:uid="{657EAA23-071E-4645-96D0-6D96D3B1F15B}"/>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8F8834E9-906D-45FF-8FAB-13DE3681F237}"/>
    <cellStyle name="Normal 5 3 3 2 3 4 2 3" xfId="12426" xr:uid="{6D32CF5A-EAE2-41DF-93DA-4A438FEBA2D2}"/>
    <cellStyle name="Normal 5 3 3 2 3 4 3" xfId="6057" xr:uid="{00000000-0005-0000-0000-0000AB190000}"/>
    <cellStyle name="Normal 5 3 3 2 3 4 3 2" xfId="14499" xr:uid="{2B2186C1-6004-4333-9B41-74BDFC5513A5}"/>
    <cellStyle name="Normal 5 3 3 2 3 4 4" xfId="10281" xr:uid="{A521F0C3-85A9-4574-8E9D-0082BA09549E}"/>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D3DCDA18-EC4D-45FC-BB37-D74BC5BFF3DE}"/>
    <cellStyle name="Normal 5 3 3 2 3 5 2 3" xfId="12839" xr:uid="{4B8FF117-C26C-4879-99C5-808167B20DB0}"/>
    <cellStyle name="Normal 5 3 3 2 3 5 3" xfId="6470" xr:uid="{00000000-0005-0000-0000-0000AF190000}"/>
    <cellStyle name="Normal 5 3 3 2 3 5 3 2" xfId="14912" xr:uid="{E2F04988-AD1F-492E-9593-0699850025C7}"/>
    <cellStyle name="Normal 5 3 3 2 3 5 4" xfId="10694" xr:uid="{882FD987-E3EB-4710-B814-9BAFC21D49F6}"/>
    <cellStyle name="Normal 5 3 3 2 3 6" xfId="2599" xr:uid="{00000000-0005-0000-0000-0000B0190000}"/>
    <cellStyle name="Normal 5 3 3 2 3 6 2" xfId="6883" xr:uid="{00000000-0005-0000-0000-0000B1190000}"/>
    <cellStyle name="Normal 5 3 3 2 3 6 2 2" xfId="15325" xr:uid="{8D76B81B-BF49-4B9E-85E5-039D7FC3264A}"/>
    <cellStyle name="Normal 5 3 3 2 3 6 3" xfId="11107" xr:uid="{1FA7F003-11B5-47D0-99D9-1626A8425EB2}"/>
    <cellStyle name="Normal 5 3 3 2 3 7" xfId="4818" xr:uid="{00000000-0005-0000-0000-0000B2190000}"/>
    <cellStyle name="Normal 5 3 3 2 3 7 2" xfId="13260" xr:uid="{9450E7DE-AC49-4FD1-A29F-9BCF80E813C0}"/>
    <cellStyle name="Normal 5 3 3 2 3 8" xfId="9042" xr:uid="{75369688-DA27-4A1C-B825-4BE50199873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FDDA80BC-6FE2-4FF8-99EF-08226E376C3C}"/>
    <cellStyle name="Normal 5 3 3 2 4 2 3" xfId="11597" xr:uid="{0B3D87CD-0C5B-49A8-8E2C-B4AB17EC8C10}"/>
    <cellStyle name="Normal 5 3 3 2 4 3" xfId="5228" xr:uid="{00000000-0005-0000-0000-0000B6190000}"/>
    <cellStyle name="Normal 5 3 3 2 4 3 2" xfId="13670" xr:uid="{FCE4DAC4-D4C3-4E5B-9E20-A9574D8D7DCF}"/>
    <cellStyle name="Normal 5 3 3 2 4 4" xfId="9452" xr:uid="{3C770786-AB56-4886-A259-A6B04D8B28EC}"/>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FD01935E-D5E7-4346-9C31-198C591442CA}"/>
    <cellStyle name="Normal 5 3 3 2 5 2 3" xfId="12010" xr:uid="{97B13391-0190-4545-AA94-04FD4689B6CA}"/>
    <cellStyle name="Normal 5 3 3 2 5 3" xfId="5641" xr:uid="{00000000-0005-0000-0000-0000BA190000}"/>
    <cellStyle name="Normal 5 3 3 2 5 3 2" xfId="14083" xr:uid="{2FF4791D-0767-4B87-932F-B4B0D53DC85A}"/>
    <cellStyle name="Normal 5 3 3 2 5 4" xfId="9865" xr:uid="{581CFB1C-1B18-4F46-BB78-B838FD1CFB27}"/>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3E61AE5A-58E0-431F-9B7E-513D85CECCDA}"/>
    <cellStyle name="Normal 5 3 3 2 6 2 3" xfId="12423" xr:uid="{6C7FD050-CFD8-4FBE-8061-2370EBD198A1}"/>
    <cellStyle name="Normal 5 3 3 2 6 3" xfId="6054" xr:uid="{00000000-0005-0000-0000-0000BE190000}"/>
    <cellStyle name="Normal 5 3 3 2 6 3 2" xfId="14496" xr:uid="{7BA1A4D3-947A-4A3D-A18C-ADF6A8DD5AF0}"/>
    <cellStyle name="Normal 5 3 3 2 6 4" xfId="10278" xr:uid="{5B0A51A5-DE0A-422A-8075-1113AE677B59}"/>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AC75BB1D-D3C6-4BDB-8378-39F8B3F7BFCD}"/>
    <cellStyle name="Normal 5 3 3 2 7 2 3" xfId="12836" xr:uid="{B1C98DC1-823B-4682-9DEE-1045F44F1D61}"/>
    <cellStyle name="Normal 5 3 3 2 7 3" xfId="6467" xr:uid="{00000000-0005-0000-0000-0000C2190000}"/>
    <cellStyle name="Normal 5 3 3 2 7 3 2" xfId="14909" xr:uid="{152187BC-10A5-424C-BB3B-909546250BDF}"/>
    <cellStyle name="Normal 5 3 3 2 7 4" xfId="10691" xr:uid="{5B3591E8-5767-458D-BE21-BDB63F1B284E}"/>
    <cellStyle name="Normal 5 3 3 2 8" xfId="2596" xr:uid="{00000000-0005-0000-0000-0000C3190000}"/>
    <cellStyle name="Normal 5 3 3 2 8 2" xfId="6880" xr:uid="{00000000-0005-0000-0000-0000C4190000}"/>
    <cellStyle name="Normal 5 3 3 2 8 2 2" xfId="15322" xr:uid="{49955627-A4A6-439A-B227-6F03859B8173}"/>
    <cellStyle name="Normal 5 3 3 2 8 3" xfId="11104" xr:uid="{BE8793AD-E971-45F9-A923-1E106644F5D3}"/>
    <cellStyle name="Normal 5 3 3 2 9" xfId="4815" xr:uid="{00000000-0005-0000-0000-0000C5190000}"/>
    <cellStyle name="Normal 5 3 3 2 9 2" xfId="13257" xr:uid="{87334CDD-7BEF-4638-A870-B66687B86231}"/>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F651FFEE-2916-42ED-A31C-9C7C3A6FB38D}"/>
    <cellStyle name="Normal 5 3 3 3 2 2 2 3" xfId="11602" xr:uid="{A9A84ED9-E6E0-4F3D-8728-4A88D74DEEA8}"/>
    <cellStyle name="Normal 5 3 3 3 2 2 3" xfId="5233" xr:uid="{00000000-0005-0000-0000-0000CB190000}"/>
    <cellStyle name="Normal 5 3 3 3 2 2 3 2" xfId="13675" xr:uid="{6AB39606-C5E0-4AF5-81B2-9B1DFE4010A5}"/>
    <cellStyle name="Normal 5 3 3 3 2 2 4" xfId="9457" xr:uid="{988DC37D-07B9-4AAA-8FA3-1A313578FAC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118C14D6-143D-4C7D-8E81-22EDC3B901D0}"/>
    <cellStyle name="Normal 5 3 3 3 2 3 2 3" xfId="12015" xr:uid="{7DD267AB-CF62-4378-9AC6-3D8347FF1539}"/>
    <cellStyle name="Normal 5 3 3 3 2 3 3" xfId="5646" xr:uid="{00000000-0005-0000-0000-0000CF190000}"/>
    <cellStyle name="Normal 5 3 3 3 2 3 3 2" xfId="14088" xr:uid="{773AA1B0-8AD4-46F9-8974-237192C5ADD0}"/>
    <cellStyle name="Normal 5 3 3 3 2 3 4" xfId="9870" xr:uid="{06789F33-ABA1-4B4B-8A75-13525DD33355}"/>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4AF50020-5FD2-48B1-82BD-471B2A667334}"/>
    <cellStyle name="Normal 5 3 3 3 2 4 2 3" xfId="12428" xr:uid="{BB5E54A0-BF7B-4A17-8D4B-E06CBEB593DC}"/>
    <cellStyle name="Normal 5 3 3 3 2 4 3" xfId="6059" xr:uid="{00000000-0005-0000-0000-0000D3190000}"/>
    <cellStyle name="Normal 5 3 3 3 2 4 3 2" xfId="14501" xr:uid="{9C007356-5EE4-47CD-8BCA-BD88BAA4075E}"/>
    <cellStyle name="Normal 5 3 3 3 2 4 4" xfId="10283" xr:uid="{8AE1A266-6A06-42FC-AADE-A5172EB4AA85}"/>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40874CB7-A87D-4E63-B44B-98F611C8DE38}"/>
    <cellStyle name="Normal 5 3 3 3 2 5 2 3" xfId="12841" xr:uid="{61FEE8D6-DF55-452E-8F0D-DC14D40C77C4}"/>
    <cellStyle name="Normal 5 3 3 3 2 5 3" xfId="6472" xr:uid="{00000000-0005-0000-0000-0000D7190000}"/>
    <cellStyle name="Normal 5 3 3 3 2 5 3 2" xfId="14914" xr:uid="{18691B03-1CB3-49D6-86B9-633D48F6E655}"/>
    <cellStyle name="Normal 5 3 3 3 2 5 4" xfId="10696" xr:uid="{DF4043A4-C3F7-4200-A1EA-BC15161EDD06}"/>
    <cellStyle name="Normal 5 3 3 3 2 6" xfId="2601" xr:uid="{00000000-0005-0000-0000-0000D8190000}"/>
    <cellStyle name="Normal 5 3 3 3 2 6 2" xfId="6885" xr:uid="{00000000-0005-0000-0000-0000D9190000}"/>
    <cellStyle name="Normal 5 3 3 3 2 6 2 2" xfId="15327" xr:uid="{CDC247A8-9DC7-484E-A769-11C4BE36F2A8}"/>
    <cellStyle name="Normal 5 3 3 3 2 6 3" xfId="11109" xr:uid="{91172C18-836B-4E6F-8FC1-8D3BDCB12A1A}"/>
    <cellStyle name="Normal 5 3 3 3 2 7" xfId="4820" xr:uid="{00000000-0005-0000-0000-0000DA190000}"/>
    <cellStyle name="Normal 5 3 3 3 2 7 2" xfId="13262" xr:uid="{C2D1AA07-CA4B-4ED7-9174-CA572A981940}"/>
    <cellStyle name="Normal 5 3 3 3 2 8" xfId="9044" xr:uid="{FAB8EDA9-8C65-43E0-9CB8-3824A3D0D52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DF38EB38-C602-439A-8A0B-6CE82BCC8A30}"/>
    <cellStyle name="Normal 5 3 3 3 3 2 3" xfId="11601" xr:uid="{328D65C6-466F-434E-8F9E-EF2CE41E00B7}"/>
    <cellStyle name="Normal 5 3 3 3 3 3" xfId="5232" xr:uid="{00000000-0005-0000-0000-0000DE190000}"/>
    <cellStyle name="Normal 5 3 3 3 3 3 2" xfId="13674" xr:uid="{48DDE7CE-C674-4568-93AA-3EB622EC1FE3}"/>
    <cellStyle name="Normal 5 3 3 3 3 4" xfId="9456" xr:uid="{CC74A51E-378F-48E0-99A0-67B3E6B10C4C}"/>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C1631E4A-4E21-41F4-B2A1-E8216C2187DB}"/>
    <cellStyle name="Normal 5 3 3 3 4 2 3" xfId="12014" xr:uid="{2B6FF20C-5273-48B7-928F-F64653BFB423}"/>
    <cellStyle name="Normal 5 3 3 3 4 3" xfId="5645" xr:uid="{00000000-0005-0000-0000-0000E2190000}"/>
    <cellStyle name="Normal 5 3 3 3 4 3 2" xfId="14087" xr:uid="{CD889B27-462C-4557-8EB7-F377880AD8F5}"/>
    <cellStyle name="Normal 5 3 3 3 4 4" xfId="9869" xr:uid="{4973EA18-9A2C-44AE-A6C7-E4FB94572734}"/>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6DB9EC4D-6F96-44B9-AFE1-74D80130049A}"/>
    <cellStyle name="Normal 5 3 3 3 5 2 3" xfId="12427" xr:uid="{FA5F52F3-882B-4DD2-B720-567C78BC4AE3}"/>
    <cellStyle name="Normal 5 3 3 3 5 3" xfId="6058" xr:uid="{00000000-0005-0000-0000-0000E6190000}"/>
    <cellStyle name="Normal 5 3 3 3 5 3 2" xfId="14500" xr:uid="{52FF2D91-9BF2-4E27-A24C-90C350008212}"/>
    <cellStyle name="Normal 5 3 3 3 5 4" xfId="10282" xr:uid="{2338D34C-2DC8-4084-9174-64C38E735C8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48BE4777-0C9F-4689-BB95-C8AC844F8994}"/>
    <cellStyle name="Normal 5 3 3 3 6 2 3" xfId="12840" xr:uid="{3517F8DA-5F7B-4249-9DF5-27C1A4C5EC0A}"/>
    <cellStyle name="Normal 5 3 3 3 6 3" xfId="6471" xr:uid="{00000000-0005-0000-0000-0000EA190000}"/>
    <cellStyle name="Normal 5 3 3 3 6 3 2" xfId="14913" xr:uid="{8778EFC1-ADC0-4E77-926F-5143C34A49D1}"/>
    <cellStyle name="Normal 5 3 3 3 6 4" xfId="10695" xr:uid="{D162237D-3A37-4AA0-8CC1-3A8145393B81}"/>
    <cellStyle name="Normal 5 3 3 3 7" xfId="2600" xr:uid="{00000000-0005-0000-0000-0000EB190000}"/>
    <cellStyle name="Normal 5 3 3 3 7 2" xfId="6884" xr:uid="{00000000-0005-0000-0000-0000EC190000}"/>
    <cellStyle name="Normal 5 3 3 3 7 2 2" xfId="15326" xr:uid="{F1E16B1B-8620-4D34-B77F-6D9B4EFD1678}"/>
    <cellStyle name="Normal 5 3 3 3 7 3" xfId="11108" xr:uid="{CA95814C-3E27-4632-88D8-6DD7F5B79CB0}"/>
    <cellStyle name="Normal 5 3 3 3 8" xfId="4819" xr:uid="{00000000-0005-0000-0000-0000ED190000}"/>
    <cellStyle name="Normal 5 3 3 3 8 2" xfId="13261" xr:uid="{463FBC87-FAB5-4AC3-AFDF-EB7DBC039029}"/>
    <cellStyle name="Normal 5 3 3 3 9" xfId="9043" xr:uid="{EC32A48A-6807-4B3C-986D-ED4CF0B1CACD}"/>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D4C0F44-2A11-47AD-8B72-5C4AC2788532}"/>
    <cellStyle name="Normal 5 3 3 4 2 2 3" xfId="11603" xr:uid="{3BA8DF64-884C-4C6D-928E-83EBC9D5A1F0}"/>
    <cellStyle name="Normal 5 3 3 4 2 3" xfId="5234" xr:uid="{00000000-0005-0000-0000-0000F2190000}"/>
    <cellStyle name="Normal 5 3 3 4 2 3 2" xfId="13676" xr:uid="{0E46D701-B570-4489-85B0-5CB711E36FE7}"/>
    <cellStyle name="Normal 5 3 3 4 2 4" xfId="9458" xr:uid="{1F1B64C8-E58D-4CA7-9159-D6A95BFC0A1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35C24A68-B9EE-44DD-9F33-996903237A1C}"/>
    <cellStyle name="Normal 5 3 3 4 3 2 3" xfId="12016" xr:uid="{CEBDAD77-7CA5-43BC-8E7A-3737C4E7EEB4}"/>
    <cellStyle name="Normal 5 3 3 4 3 3" xfId="5647" xr:uid="{00000000-0005-0000-0000-0000F6190000}"/>
    <cellStyle name="Normal 5 3 3 4 3 3 2" xfId="14089" xr:uid="{E6EB1044-43DC-4BAA-A839-C95F204321FA}"/>
    <cellStyle name="Normal 5 3 3 4 3 4" xfId="9871" xr:uid="{2A972B5C-68DA-4C4F-9086-3B711FB89E5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55F2AFF9-F965-4187-9B05-BE4300E87FD5}"/>
    <cellStyle name="Normal 5 3 3 4 4 2 3" xfId="12429" xr:uid="{F5D579F7-797E-4A2B-91B3-6B70955318D3}"/>
    <cellStyle name="Normal 5 3 3 4 4 3" xfId="6060" xr:uid="{00000000-0005-0000-0000-0000FA190000}"/>
    <cellStyle name="Normal 5 3 3 4 4 3 2" xfId="14502" xr:uid="{430F3D40-51A7-466E-91A0-616212533B95}"/>
    <cellStyle name="Normal 5 3 3 4 4 4" xfId="10284" xr:uid="{334F7BD5-1F36-47F7-A28F-B46BB7E7CC2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B268356D-2794-4031-A621-AEC2A366C677}"/>
    <cellStyle name="Normal 5 3 3 4 5 2 3" xfId="12842" xr:uid="{ECEC3AC8-2547-460C-9D99-7F2CDA1D9F0C}"/>
    <cellStyle name="Normal 5 3 3 4 5 3" xfId="6473" xr:uid="{00000000-0005-0000-0000-0000FE190000}"/>
    <cellStyle name="Normal 5 3 3 4 5 3 2" xfId="14915" xr:uid="{687B5D8A-6FA1-41AD-BF01-B41476B16C82}"/>
    <cellStyle name="Normal 5 3 3 4 5 4" xfId="10697" xr:uid="{C7B58D51-44A7-4A9E-985E-1B62D7F284CA}"/>
    <cellStyle name="Normal 5 3 3 4 6" xfId="2602" xr:uid="{00000000-0005-0000-0000-0000FF190000}"/>
    <cellStyle name="Normal 5 3 3 4 6 2" xfId="6886" xr:uid="{00000000-0005-0000-0000-0000001A0000}"/>
    <cellStyle name="Normal 5 3 3 4 6 2 2" xfId="15328" xr:uid="{2CE0F660-8C55-4B39-A153-DD77AAEEFCC2}"/>
    <cellStyle name="Normal 5 3 3 4 6 3" xfId="11110" xr:uid="{E1F17352-744B-4636-BF95-7DBD02146632}"/>
    <cellStyle name="Normal 5 3 3 4 7" xfId="4821" xr:uid="{00000000-0005-0000-0000-0000011A0000}"/>
    <cellStyle name="Normal 5 3 3 4 7 2" xfId="13263" xr:uid="{35066B71-30E0-467F-B6D9-C86CBEAA76A9}"/>
    <cellStyle name="Normal 5 3 3 4 8" xfId="9045" xr:uid="{525A928F-9153-42CA-9B47-076D6FF651EA}"/>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1A51CC47-3AB0-4AB5-92C7-2A7744C31D5B}"/>
    <cellStyle name="Normal 5 3 3 5 2 3" xfId="11596" xr:uid="{289B0DA3-74B3-4897-ABC5-147FB70955AA}"/>
    <cellStyle name="Normal 5 3 3 5 3" xfId="5227" xr:uid="{00000000-0005-0000-0000-0000051A0000}"/>
    <cellStyle name="Normal 5 3 3 5 3 2" xfId="13669" xr:uid="{F87B668C-99E3-4B81-B1C1-06E4B71A769D}"/>
    <cellStyle name="Normal 5 3 3 5 4" xfId="9451" xr:uid="{0D70EA41-8E6E-4E40-8245-BC34A81E1906}"/>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F754247C-73F1-46B5-96E6-34C4A3B340C6}"/>
    <cellStyle name="Normal 5 3 3 6 2 3" xfId="12009" xr:uid="{23B2A312-1437-479B-A19A-32619203A844}"/>
    <cellStyle name="Normal 5 3 3 6 3" xfId="5640" xr:uid="{00000000-0005-0000-0000-0000091A0000}"/>
    <cellStyle name="Normal 5 3 3 6 3 2" xfId="14082" xr:uid="{40880582-0671-457D-B7FD-83478510F19C}"/>
    <cellStyle name="Normal 5 3 3 6 4" xfId="9864" xr:uid="{D2014DB6-E8AC-4A54-97AF-C3B5792A58B8}"/>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8ABFE0C5-CA37-42CF-B61E-9AF90099190B}"/>
    <cellStyle name="Normal 5 3 3 7 2 3" xfId="12422" xr:uid="{C01721CE-31A7-49C3-85D7-901709270EB9}"/>
    <cellStyle name="Normal 5 3 3 7 3" xfId="6053" xr:uid="{00000000-0005-0000-0000-00000D1A0000}"/>
    <cellStyle name="Normal 5 3 3 7 3 2" xfId="14495" xr:uid="{FD9BC055-94C0-4B37-9051-F9E4274E2ECE}"/>
    <cellStyle name="Normal 5 3 3 7 4" xfId="10277" xr:uid="{CD4058CD-28C0-4F7F-9070-DA8E3ED849F9}"/>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AD097D9E-29B8-4F79-88C7-037EBF78C089}"/>
    <cellStyle name="Normal 5 3 3 8 2 3" xfId="12835" xr:uid="{ABFBD33A-7102-4AF9-A7BA-EE9F833B528A}"/>
    <cellStyle name="Normal 5 3 3 8 3" xfId="6466" xr:uid="{00000000-0005-0000-0000-0000111A0000}"/>
    <cellStyle name="Normal 5 3 3 8 3 2" xfId="14908" xr:uid="{BDB0355D-058C-4AC0-BBD2-A2A424E7EC11}"/>
    <cellStyle name="Normal 5 3 3 8 4" xfId="10690" xr:uid="{8A989BD8-CF52-4DF2-B91C-F1D43C8CF25E}"/>
    <cellStyle name="Normal 5 3 3 9" xfId="2595" xr:uid="{00000000-0005-0000-0000-0000121A0000}"/>
    <cellStyle name="Normal 5 3 3 9 2" xfId="6879" xr:uid="{00000000-0005-0000-0000-0000131A0000}"/>
    <cellStyle name="Normal 5 3 3 9 2 2" xfId="15321" xr:uid="{02EB1667-8A9A-49CF-8827-C0A4DA6FEB94}"/>
    <cellStyle name="Normal 5 3 3 9 3" xfId="11103" xr:uid="{CDE9111B-FB33-4AA6-AE98-9BE270577D4B}"/>
    <cellStyle name="Normal 5 3 4" xfId="449" xr:uid="{00000000-0005-0000-0000-0000141A0000}"/>
    <cellStyle name="Normal 5 3 4 10" xfId="9046" xr:uid="{ACDADB51-E924-4E47-9417-4AFA8318C5E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957CD0D4-9DCD-4B38-9404-45B59B2E6833}"/>
    <cellStyle name="Normal 5 3 4 2 2 2 2 3" xfId="11606" xr:uid="{6CEFBB6D-4CEC-432A-9280-B24049892FAF}"/>
    <cellStyle name="Normal 5 3 4 2 2 2 3" xfId="5237" xr:uid="{00000000-0005-0000-0000-00001A1A0000}"/>
    <cellStyle name="Normal 5 3 4 2 2 2 3 2" xfId="13679" xr:uid="{6ED2358A-E959-4AE7-AA3C-36F97DFE1C65}"/>
    <cellStyle name="Normal 5 3 4 2 2 2 4" xfId="9461" xr:uid="{B85714ED-62B3-415E-99E7-81EAC6156569}"/>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318E9865-B1A1-4F6C-8665-3F32CE720D58}"/>
    <cellStyle name="Normal 5 3 4 2 2 3 2 3" xfId="12019" xr:uid="{F086BB79-10D2-4C0A-96DF-D88C10445853}"/>
    <cellStyle name="Normal 5 3 4 2 2 3 3" xfId="5650" xr:uid="{00000000-0005-0000-0000-00001E1A0000}"/>
    <cellStyle name="Normal 5 3 4 2 2 3 3 2" xfId="14092" xr:uid="{60A23108-A64B-4A5B-807F-97092D0C1EE9}"/>
    <cellStyle name="Normal 5 3 4 2 2 3 4" xfId="9874" xr:uid="{59D1F67E-9E47-4091-AF6E-FC7077376BA9}"/>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1C2F4C23-C748-4874-8E9B-822061491E0E}"/>
    <cellStyle name="Normal 5 3 4 2 2 4 2 3" xfId="12432" xr:uid="{4718E53A-876E-446B-8825-6822678C1622}"/>
    <cellStyle name="Normal 5 3 4 2 2 4 3" xfId="6063" xr:uid="{00000000-0005-0000-0000-0000221A0000}"/>
    <cellStyle name="Normal 5 3 4 2 2 4 3 2" xfId="14505" xr:uid="{D5D19026-3348-4E01-A5C7-1E125CB04DE3}"/>
    <cellStyle name="Normal 5 3 4 2 2 4 4" xfId="10287" xr:uid="{2162C1BA-21AA-49B7-AF42-DEC2D2F2157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ACED7CE6-B7E6-4300-9AB5-E92AB3FF796F}"/>
    <cellStyle name="Normal 5 3 4 2 2 5 2 3" xfId="12845" xr:uid="{7207DE97-3269-4521-AF49-32FBBA1C7B2B}"/>
    <cellStyle name="Normal 5 3 4 2 2 5 3" xfId="6476" xr:uid="{00000000-0005-0000-0000-0000261A0000}"/>
    <cellStyle name="Normal 5 3 4 2 2 5 3 2" xfId="14918" xr:uid="{5A784A57-5CF2-4E2E-A575-556B09215A94}"/>
    <cellStyle name="Normal 5 3 4 2 2 5 4" xfId="10700" xr:uid="{390F5779-618A-47E3-85EE-BE9F0E25041B}"/>
    <cellStyle name="Normal 5 3 4 2 2 6" xfId="2605" xr:uid="{00000000-0005-0000-0000-0000271A0000}"/>
    <cellStyle name="Normal 5 3 4 2 2 6 2" xfId="6889" xr:uid="{00000000-0005-0000-0000-0000281A0000}"/>
    <cellStyle name="Normal 5 3 4 2 2 6 2 2" xfId="15331" xr:uid="{9D5E0229-0974-44CC-9534-B5B843F0EFE2}"/>
    <cellStyle name="Normal 5 3 4 2 2 6 3" xfId="11113" xr:uid="{A365F978-27E4-4490-BC68-0D158EE686B1}"/>
    <cellStyle name="Normal 5 3 4 2 2 7" xfId="4824" xr:uid="{00000000-0005-0000-0000-0000291A0000}"/>
    <cellStyle name="Normal 5 3 4 2 2 7 2" xfId="13266" xr:uid="{CACFE542-3357-4F1F-B8D2-87CD4073B88E}"/>
    <cellStyle name="Normal 5 3 4 2 2 8" xfId="9048" xr:uid="{D8DEBA09-BB11-4036-B279-11A0E1F59B5D}"/>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02E088B5-B9C8-4D0C-ACDF-BD2BA3071067}"/>
    <cellStyle name="Normal 5 3 4 2 3 2 3" xfId="11605" xr:uid="{03C41DCA-D56C-425E-B3F9-9E5767C2AC8A}"/>
    <cellStyle name="Normal 5 3 4 2 3 3" xfId="5236" xr:uid="{00000000-0005-0000-0000-00002D1A0000}"/>
    <cellStyle name="Normal 5 3 4 2 3 3 2" xfId="13678" xr:uid="{93964B60-24F2-42A5-8FE1-B62C8C7E57B6}"/>
    <cellStyle name="Normal 5 3 4 2 3 4" xfId="9460" xr:uid="{ADFB2B7A-4AC2-43C8-9B97-CE66E0E1784F}"/>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D27B79AD-4553-457C-BCBF-AE8505FD3913}"/>
    <cellStyle name="Normal 5 3 4 2 4 2 3" xfId="12018" xr:uid="{17EF7BED-1681-4717-BAB2-5D405BFACDFD}"/>
    <cellStyle name="Normal 5 3 4 2 4 3" xfId="5649" xr:uid="{00000000-0005-0000-0000-0000311A0000}"/>
    <cellStyle name="Normal 5 3 4 2 4 3 2" xfId="14091" xr:uid="{37357B74-2A1E-42D6-97E3-49CD94209097}"/>
    <cellStyle name="Normal 5 3 4 2 4 4" xfId="9873" xr:uid="{C933B443-3147-4794-9273-FC0FF2326C8F}"/>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A4D6E7E7-24F2-4315-B0E1-F6CF1BF1D403}"/>
    <cellStyle name="Normal 5 3 4 2 5 2 3" xfId="12431" xr:uid="{E39F5C4F-48B6-485E-A8AC-AD2383A21B58}"/>
    <cellStyle name="Normal 5 3 4 2 5 3" xfId="6062" xr:uid="{00000000-0005-0000-0000-0000351A0000}"/>
    <cellStyle name="Normal 5 3 4 2 5 3 2" xfId="14504" xr:uid="{058FEF21-CA9D-442E-8EF3-664D085792D9}"/>
    <cellStyle name="Normal 5 3 4 2 5 4" xfId="10286" xr:uid="{8A914FB3-3E75-4A31-B383-094B247BD96A}"/>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D63000DE-2EF0-48AF-948D-6B621EABFB33}"/>
    <cellStyle name="Normal 5 3 4 2 6 2 3" xfId="12844" xr:uid="{828AC7DD-80EA-4ECD-BEF2-75BCB46EB2A9}"/>
    <cellStyle name="Normal 5 3 4 2 6 3" xfId="6475" xr:uid="{00000000-0005-0000-0000-0000391A0000}"/>
    <cellStyle name="Normal 5 3 4 2 6 3 2" xfId="14917" xr:uid="{025A5A90-3218-4A99-ACDE-822315D2F933}"/>
    <cellStyle name="Normal 5 3 4 2 6 4" xfId="10699" xr:uid="{87794229-C7B2-4573-B393-2E83B310E50E}"/>
    <cellStyle name="Normal 5 3 4 2 7" xfId="2604" xr:uid="{00000000-0005-0000-0000-00003A1A0000}"/>
    <cellStyle name="Normal 5 3 4 2 7 2" xfId="6888" xr:uid="{00000000-0005-0000-0000-00003B1A0000}"/>
    <cellStyle name="Normal 5 3 4 2 7 2 2" xfId="15330" xr:uid="{B9AFFA8E-BBAD-4080-B56A-BEF60AB14B07}"/>
    <cellStyle name="Normal 5 3 4 2 7 3" xfId="11112" xr:uid="{CE5D2ECC-8D48-43F3-B942-B13BF1355D78}"/>
    <cellStyle name="Normal 5 3 4 2 8" xfId="4823" xr:uid="{00000000-0005-0000-0000-00003C1A0000}"/>
    <cellStyle name="Normal 5 3 4 2 8 2" xfId="13265" xr:uid="{521A844D-B573-4957-98FA-61FD812DFE12}"/>
    <cellStyle name="Normal 5 3 4 2 9" xfId="9047" xr:uid="{57B4BBEF-E656-4971-9ED1-8AC5BE0C82AD}"/>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DFA456D1-4DED-4860-ABAF-A8BB01F5BCC3}"/>
    <cellStyle name="Normal 5 3 4 3 2 2 3" xfId="11607" xr:uid="{4D5C1957-1EBE-4412-922F-AE8AEF7BD42D}"/>
    <cellStyle name="Normal 5 3 4 3 2 3" xfId="5238" xr:uid="{00000000-0005-0000-0000-0000411A0000}"/>
    <cellStyle name="Normal 5 3 4 3 2 3 2" xfId="13680" xr:uid="{CBEF2F75-44FB-4D6E-BC72-AF55249E2BBC}"/>
    <cellStyle name="Normal 5 3 4 3 2 4" xfId="9462" xr:uid="{AA2F22BD-AA8E-4154-825C-E6FA2C42F32F}"/>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72A4B41A-CCCB-49E2-BCB4-A79B86806DD3}"/>
    <cellStyle name="Normal 5 3 4 3 3 2 3" xfId="12020" xr:uid="{21F3FB53-9812-426A-970C-96810D831540}"/>
    <cellStyle name="Normal 5 3 4 3 3 3" xfId="5651" xr:uid="{00000000-0005-0000-0000-0000451A0000}"/>
    <cellStyle name="Normal 5 3 4 3 3 3 2" xfId="14093" xr:uid="{61F1D1F8-5AA1-47D0-973C-9DD37439A5F7}"/>
    <cellStyle name="Normal 5 3 4 3 3 4" xfId="9875" xr:uid="{8E20E028-CD31-4A4F-9E69-589B7381B3C0}"/>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F2B83721-7FFA-4F4F-8BBF-8EA2A7BA33FD}"/>
    <cellStyle name="Normal 5 3 4 3 4 2 3" xfId="12433" xr:uid="{E25F7FF7-F532-4728-BB25-D33EA0BB528A}"/>
    <cellStyle name="Normal 5 3 4 3 4 3" xfId="6064" xr:uid="{00000000-0005-0000-0000-0000491A0000}"/>
    <cellStyle name="Normal 5 3 4 3 4 3 2" xfId="14506" xr:uid="{611CF945-3069-4B64-8A0B-EF781E77F9D0}"/>
    <cellStyle name="Normal 5 3 4 3 4 4" xfId="10288" xr:uid="{71200C5E-AFC3-44B3-8B7B-F9DAAA493B71}"/>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BEF12FAE-8D27-466B-9107-E6CE12DF94FF}"/>
    <cellStyle name="Normal 5 3 4 3 5 2 3" xfId="12846" xr:uid="{260D817B-6126-4378-8E41-A16D1665B01A}"/>
    <cellStyle name="Normal 5 3 4 3 5 3" xfId="6477" xr:uid="{00000000-0005-0000-0000-00004D1A0000}"/>
    <cellStyle name="Normal 5 3 4 3 5 3 2" xfId="14919" xr:uid="{68A983F1-4ECC-427F-B904-37F9FDD46CDC}"/>
    <cellStyle name="Normal 5 3 4 3 5 4" xfId="10701" xr:uid="{1A39F37C-3B09-4895-A6D2-F9E4B749463F}"/>
    <cellStyle name="Normal 5 3 4 3 6" xfId="2606" xr:uid="{00000000-0005-0000-0000-00004E1A0000}"/>
    <cellStyle name="Normal 5 3 4 3 6 2" xfId="6890" xr:uid="{00000000-0005-0000-0000-00004F1A0000}"/>
    <cellStyle name="Normal 5 3 4 3 6 2 2" xfId="15332" xr:uid="{A4F8A216-BD7E-4AB4-AE88-B4D44902E92D}"/>
    <cellStyle name="Normal 5 3 4 3 6 3" xfId="11114" xr:uid="{0694E29E-AADC-4B16-A6F6-75513A34686A}"/>
    <cellStyle name="Normal 5 3 4 3 7" xfId="4825" xr:uid="{00000000-0005-0000-0000-0000501A0000}"/>
    <cellStyle name="Normal 5 3 4 3 7 2" xfId="13267" xr:uid="{03074E25-BEB2-4462-BC92-F7002CF6C6DB}"/>
    <cellStyle name="Normal 5 3 4 3 8" xfId="9049" xr:uid="{96E37165-CBF3-4CB4-A74A-7B4850F6D37C}"/>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263EA6EC-A06A-4C49-9234-0BD14935A6B1}"/>
    <cellStyle name="Normal 5 3 4 4 2 3" xfId="11604" xr:uid="{ABFE05E2-55FA-4DD1-BCAD-CAA0446219B6}"/>
    <cellStyle name="Normal 5 3 4 4 3" xfId="5235" xr:uid="{00000000-0005-0000-0000-0000541A0000}"/>
    <cellStyle name="Normal 5 3 4 4 3 2" xfId="13677" xr:uid="{6273A1E8-89D1-4808-8C0E-F07D820A3986}"/>
    <cellStyle name="Normal 5 3 4 4 4" xfId="9459" xr:uid="{6D9B633E-CE1A-434A-9F85-C941E0E6C8DF}"/>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7D7ED71F-4BA0-438A-8E2B-C1445B981D0A}"/>
    <cellStyle name="Normal 5 3 4 5 2 3" xfId="12017" xr:uid="{EC1FB97D-6D4C-47E3-B358-15DE540BECC8}"/>
    <cellStyle name="Normal 5 3 4 5 3" xfId="5648" xr:uid="{00000000-0005-0000-0000-0000581A0000}"/>
    <cellStyle name="Normal 5 3 4 5 3 2" xfId="14090" xr:uid="{8BBC1E98-FA99-4A6E-8BAA-3965FDAB30C6}"/>
    <cellStyle name="Normal 5 3 4 5 4" xfId="9872" xr:uid="{C0821D4D-3F60-412D-A0E0-FE049F143D66}"/>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17F43EC-DF56-4799-9A03-1D91842BD815}"/>
    <cellStyle name="Normal 5 3 4 6 2 3" xfId="12430" xr:uid="{4A545AA5-22B9-48F9-B3D8-3E365358BA1A}"/>
    <cellStyle name="Normal 5 3 4 6 3" xfId="6061" xr:uid="{00000000-0005-0000-0000-00005C1A0000}"/>
    <cellStyle name="Normal 5 3 4 6 3 2" xfId="14503" xr:uid="{890D5948-C166-4FD9-8320-D62906DED152}"/>
    <cellStyle name="Normal 5 3 4 6 4" xfId="10285" xr:uid="{6754C5E2-3C99-40A1-9142-552C4ADCDEFF}"/>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8C7A82CE-6722-4610-A76A-AFE01D0AA365}"/>
    <cellStyle name="Normal 5 3 4 7 2 3" xfId="12843" xr:uid="{6F05E87C-5E62-4746-ADBF-562E95E124AC}"/>
    <cellStyle name="Normal 5 3 4 7 3" xfId="6474" xr:uid="{00000000-0005-0000-0000-0000601A0000}"/>
    <cellStyle name="Normal 5 3 4 7 3 2" xfId="14916" xr:uid="{5CBE8E04-9F9A-4601-AF86-6BD958595C1D}"/>
    <cellStyle name="Normal 5 3 4 7 4" xfId="10698" xr:uid="{DEDEF2CD-4C4B-4376-B680-0C688F600825}"/>
    <cellStyle name="Normal 5 3 4 8" xfId="2603" xr:uid="{00000000-0005-0000-0000-0000611A0000}"/>
    <cellStyle name="Normal 5 3 4 8 2" xfId="6887" xr:uid="{00000000-0005-0000-0000-0000621A0000}"/>
    <cellStyle name="Normal 5 3 4 8 2 2" xfId="15329" xr:uid="{F92CAAFF-1372-4794-8B4C-7239EFE92F7E}"/>
    <cellStyle name="Normal 5 3 4 8 3" xfId="11111" xr:uid="{7CCC13AA-9B6D-451A-8751-8196DC0E71F2}"/>
    <cellStyle name="Normal 5 3 4 9" xfId="4822" xr:uid="{00000000-0005-0000-0000-0000631A0000}"/>
    <cellStyle name="Normal 5 3 4 9 2" xfId="13264" xr:uid="{8488166E-A978-4EE7-A6C5-CA29E3AF1C7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8E6BE2DB-F8A8-4A00-ADDD-5753924C8811}"/>
    <cellStyle name="Normal 5 3 5 2 2 2 3" xfId="11609" xr:uid="{E4846A20-327F-4A2E-9504-9DAF0449CC10}"/>
    <cellStyle name="Normal 5 3 5 2 2 3" xfId="5240" xr:uid="{00000000-0005-0000-0000-0000691A0000}"/>
    <cellStyle name="Normal 5 3 5 2 2 3 2" xfId="13682" xr:uid="{C749238D-9CA6-496D-99A2-AB02FC533315}"/>
    <cellStyle name="Normal 5 3 5 2 2 4" xfId="9464" xr:uid="{23D4EBA7-1586-4696-87B6-580CE72B381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58D9AA6C-2E29-4449-B282-3874C6917494}"/>
    <cellStyle name="Normal 5 3 5 2 3 2 3" xfId="12022" xr:uid="{6800BF49-A5BC-44B9-BF23-A1BDB895E702}"/>
    <cellStyle name="Normal 5 3 5 2 3 3" xfId="5653" xr:uid="{00000000-0005-0000-0000-00006D1A0000}"/>
    <cellStyle name="Normal 5 3 5 2 3 3 2" xfId="14095" xr:uid="{727ABEAC-6BE5-41EB-8E93-B70C6A1F05A6}"/>
    <cellStyle name="Normal 5 3 5 2 3 4" xfId="9877" xr:uid="{F78C5B21-2AE7-4AEA-BD8E-0BB40E805C35}"/>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5F5EDD76-B480-4068-B0FB-EA59F8F63328}"/>
    <cellStyle name="Normal 5 3 5 2 4 2 3" xfId="12435" xr:uid="{8B4E35D2-19D1-4496-B46A-996F95147C6A}"/>
    <cellStyle name="Normal 5 3 5 2 4 3" xfId="6066" xr:uid="{00000000-0005-0000-0000-0000711A0000}"/>
    <cellStyle name="Normal 5 3 5 2 4 3 2" xfId="14508" xr:uid="{35166B94-0FE2-4B30-B9A3-5CA807FA1479}"/>
    <cellStyle name="Normal 5 3 5 2 4 4" xfId="10290" xr:uid="{096CA649-FA51-4410-A39B-136E32A80FFF}"/>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4CF03CB-3C2C-48EF-A809-A58D96197623}"/>
    <cellStyle name="Normal 5 3 5 2 5 2 3" xfId="12848" xr:uid="{ABD40D31-5FBD-4365-9B06-3A9A03A487FD}"/>
    <cellStyle name="Normal 5 3 5 2 5 3" xfId="6479" xr:uid="{00000000-0005-0000-0000-0000751A0000}"/>
    <cellStyle name="Normal 5 3 5 2 5 3 2" xfId="14921" xr:uid="{E40D3067-F3B6-4524-91CA-4091EE38F55F}"/>
    <cellStyle name="Normal 5 3 5 2 5 4" xfId="10703" xr:uid="{8C07D204-8D2B-48DC-81B5-D30D6E28A3F2}"/>
    <cellStyle name="Normal 5 3 5 2 6" xfId="2608" xr:uid="{00000000-0005-0000-0000-0000761A0000}"/>
    <cellStyle name="Normal 5 3 5 2 6 2" xfId="6892" xr:uid="{00000000-0005-0000-0000-0000771A0000}"/>
    <cellStyle name="Normal 5 3 5 2 6 2 2" xfId="15334" xr:uid="{917239E5-6EFE-4559-8DC5-6FC0DE7A977F}"/>
    <cellStyle name="Normal 5 3 5 2 6 3" xfId="11116" xr:uid="{EF1F90C2-0EDC-49C6-88C7-0F0B055512E2}"/>
    <cellStyle name="Normal 5 3 5 2 7" xfId="4827" xr:uid="{00000000-0005-0000-0000-0000781A0000}"/>
    <cellStyle name="Normal 5 3 5 2 7 2" xfId="13269" xr:uid="{466A0838-521E-49A8-83B1-4DA99C06CEC1}"/>
    <cellStyle name="Normal 5 3 5 2 8" xfId="9051" xr:uid="{B7239BC7-D77E-417E-A3A5-6FAA3917A487}"/>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B4C3BF1A-3175-4333-A51C-32FCCC28608A}"/>
    <cellStyle name="Normal 5 3 5 3 2 3" xfId="11608" xr:uid="{17C202CA-DCFF-43AF-BF19-162D1CA58FF0}"/>
    <cellStyle name="Normal 5 3 5 3 3" xfId="5239" xr:uid="{00000000-0005-0000-0000-00007C1A0000}"/>
    <cellStyle name="Normal 5 3 5 3 3 2" xfId="13681" xr:uid="{9519D880-896A-45AD-A78B-DCC293104079}"/>
    <cellStyle name="Normal 5 3 5 3 4" xfId="9463" xr:uid="{DA14F311-A22E-4A81-9B3A-DA3FA837BED7}"/>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9B7A2629-8561-4F35-9D22-52AFEF16D032}"/>
    <cellStyle name="Normal 5 3 5 4 2 3" xfId="12021" xr:uid="{AEFCCB6E-6718-4651-BFF0-59190D407C7D}"/>
    <cellStyle name="Normal 5 3 5 4 3" xfId="5652" xr:uid="{00000000-0005-0000-0000-0000801A0000}"/>
    <cellStyle name="Normal 5 3 5 4 3 2" xfId="14094" xr:uid="{EEB3C4EE-172B-4EFC-B78B-957E0A9F0056}"/>
    <cellStyle name="Normal 5 3 5 4 4" xfId="9876" xr:uid="{A576E351-C488-4AEF-8B24-7EDFB5FA36E5}"/>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A56E784B-2980-443F-B70E-41FED9097835}"/>
    <cellStyle name="Normal 5 3 5 5 2 3" xfId="12434" xr:uid="{1CB120F8-FD61-494C-995A-C92B3B813E2E}"/>
    <cellStyle name="Normal 5 3 5 5 3" xfId="6065" xr:uid="{00000000-0005-0000-0000-0000841A0000}"/>
    <cellStyle name="Normal 5 3 5 5 3 2" xfId="14507" xr:uid="{27BFE218-358C-48DC-83B8-616236D67406}"/>
    <cellStyle name="Normal 5 3 5 5 4" xfId="10289" xr:uid="{C48EB6FA-4924-4681-8ED5-A1BBD186EC07}"/>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DC6D412A-82B7-41B9-A193-5AC2C7649F34}"/>
    <cellStyle name="Normal 5 3 5 6 2 3" xfId="12847" xr:uid="{7066FD77-5D7D-4115-A979-0A968E3B9AC7}"/>
    <cellStyle name="Normal 5 3 5 6 3" xfId="6478" xr:uid="{00000000-0005-0000-0000-0000881A0000}"/>
    <cellStyle name="Normal 5 3 5 6 3 2" xfId="14920" xr:uid="{03C62613-170B-4B82-AF73-2912601B6FB8}"/>
    <cellStyle name="Normal 5 3 5 6 4" xfId="10702" xr:uid="{896BEB6E-8617-4027-BC3E-C45EF8CF1E43}"/>
    <cellStyle name="Normal 5 3 5 7" xfId="2607" xr:uid="{00000000-0005-0000-0000-0000891A0000}"/>
    <cellStyle name="Normal 5 3 5 7 2" xfId="6891" xr:uid="{00000000-0005-0000-0000-00008A1A0000}"/>
    <cellStyle name="Normal 5 3 5 7 2 2" xfId="15333" xr:uid="{564EBD8D-0869-4A77-B704-1EA6FE510677}"/>
    <cellStyle name="Normal 5 3 5 7 3" xfId="11115" xr:uid="{40DE4685-687B-473E-B3C0-56445900C980}"/>
    <cellStyle name="Normal 5 3 5 8" xfId="4826" xr:uid="{00000000-0005-0000-0000-00008B1A0000}"/>
    <cellStyle name="Normal 5 3 5 8 2" xfId="13268" xr:uid="{4F44D3A9-9165-4C97-B38D-19241FBAC82F}"/>
    <cellStyle name="Normal 5 3 5 9" xfId="9050" xr:uid="{843B4DCD-5975-42D7-8228-71560F13372B}"/>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2010FC73-02AC-4B82-80EF-7D089E90734D}"/>
    <cellStyle name="Normal 5 3 6 2 2 3" xfId="11610" xr:uid="{2789124F-0219-4492-A42A-405A20F49059}"/>
    <cellStyle name="Normal 5 3 6 2 3" xfId="5241" xr:uid="{00000000-0005-0000-0000-0000901A0000}"/>
    <cellStyle name="Normal 5 3 6 2 3 2" xfId="13683" xr:uid="{27A65827-6BF9-4D74-B952-86225F3B24B2}"/>
    <cellStyle name="Normal 5 3 6 2 4" xfId="9465" xr:uid="{3B1C4022-30E9-454D-B858-38307ED893D3}"/>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E6D0808B-3890-407B-9BDB-A530885D0062}"/>
    <cellStyle name="Normal 5 3 6 3 2 3" xfId="12023" xr:uid="{8A5B34A9-6278-4EC1-92E8-EC27176CC60B}"/>
    <cellStyle name="Normal 5 3 6 3 3" xfId="5654" xr:uid="{00000000-0005-0000-0000-0000941A0000}"/>
    <cellStyle name="Normal 5 3 6 3 3 2" xfId="14096" xr:uid="{D31CCF21-1B87-4A65-9CB2-9F52C1C60A87}"/>
    <cellStyle name="Normal 5 3 6 3 4" xfId="9878" xr:uid="{61EFE236-0068-4ED0-ABF1-C8980D4599B1}"/>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0D9D8330-B2C2-44A6-864C-3A0BB3214D2A}"/>
    <cellStyle name="Normal 5 3 6 4 2 3" xfId="12436" xr:uid="{3B0C02EF-F7AC-4368-A24F-941B2084DDC8}"/>
    <cellStyle name="Normal 5 3 6 4 3" xfId="6067" xr:uid="{00000000-0005-0000-0000-0000981A0000}"/>
    <cellStyle name="Normal 5 3 6 4 3 2" xfId="14509" xr:uid="{44792994-200F-49D3-9818-8E3A0F3338D3}"/>
    <cellStyle name="Normal 5 3 6 4 4" xfId="10291" xr:uid="{67CD95D2-EAF8-4EFD-9B3A-45D1FD7E99D1}"/>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53E0CF58-348B-4AB6-B3F6-1EFE67A670E3}"/>
    <cellStyle name="Normal 5 3 6 5 2 3" xfId="12849" xr:uid="{C2A27133-76F8-4C25-913A-EBC9DFFF7EC7}"/>
    <cellStyle name="Normal 5 3 6 5 3" xfId="6480" xr:uid="{00000000-0005-0000-0000-00009C1A0000}"/>
    <cellStyle name="Normal 5 3 6 5 3 2" xfId="14922" xr:uid="{CADE140F-C84D-4BF6-AF8B-749B41959CE9}"/>
    <cellStyle name="Normal 5 3 6 5 4" xfId="10704" xr:uid="{63575474-1AD6-4D57-97E4-4DD62061ED85}"/>
    <cellStyle name="Normal 5 3 6 6" xfId="2609" xr:uid="{00000000-0005-0000-0000-00009D1A0000}"/>
    <cellStyle name="Normal 5 3 6 6 2" xfId="6893" xr:uid="{00000000-0005-0000-0000-00009E1A0000}"/>
    <cellStyle name="Normal 5 3 6 6 2 2" xfId="15335" xr:uid="{B9A836CA-6A6F-466D-A50C-EBDFDD9BF881}"/>
    <cellStyle name="Normal 5 3 6 6 3" xfId="11117" xr:uid="{E695A5B3-8F8F-4930-B388-1883C7B6D02A}"/>
    <cellStyle name="Normal 5 3 6 7" xfId="4828" xr:uid="{00000000-0005-0000-0000-00009F1A0000}"/>
    <cellStyle name="Normal 5 3 6 7 2" xfId="13270" xr:uid="{B43EA9FD-75CE-496B-B5D0-6EBA958AA385}"/>
    <cellStyle name="Normal 5 3 6 8" xfId="9052" xr:uid="{B990490E-7AA8-4A79-A537-A028F19BEE0F}"/>
    <cellStyle name="Normal 5 3 7" xfId="913" xr:uid="{00000000-0005-0000-0000-0000A01A0000}"/>
    <cellStyle name="Normal 5 3 7 2" xfId="3148" xr:uid="{00000000-0005-0000-0000-0000A11A0000}"/>
    <cellStyle name="Normal 5 3 7 2 2" xfId="7371" xr:uid="{00000000-0005-0000-0000-0000A21A0000}"/>
    <cellStyle name="Normal 5 3 7 2 2 2" xfId="15813" xr:uid="{842992A0-4D88-43A0-86F6-A36A9117CC4C}"/>
    <cellStyle name="Normal 5 3 7 2 3" xfId="11595" xr:uid="{F7D04CE5-B327-4FB0-A481-1E92E4D3895C}"/>
    <cellStyle name="Normal 5 3 7 3" xfId="5226" xr:uid="{00000000-0005-0000-0000-0000A31A0000}"/>
    <cellStyle name="Normal 5 3 7 3 2" xfId="13668" xr:uid="{3E2757E7-4A4E-4BFE-9009-B2A95FE525DC}"/>
    <cellStyle name="Normal 5 3 7 4" xfId="9450" xr:uid="{3F523B2C-47E6-4D3C-BFB5-F963E6E81D08}"/>
    <cellStyle name="Normal 5 3 8" xfId="1331" xr:uid="{00000000-0005-0000-0000-0000A41A0000}"/>
    <cellStyle name="Normal 5 3 8 2" xfId="3561" xr:uid="{00000000-0005-0000-0000-0000A51A0000}"/>
    <cellStyle name="Normal 5 3 8 2 2" xfId="7784" xr:uid="{00000000-0005-0000-0000-0000A61A0000}"/>
    <cellStyle name="Normal 5 3 8 2 2 2" xfId="16226" xr:uid="{CEA46DCE-CDBC-451F-866F-8EFA50AA56CC}"/>
    <cellStyle name="Normal 5 3 8 2 3" xfId="12008" xr:uid="{5AD851C9-5F80-4FB4-AA41-7A95EA2C42D1}"/>
    <cellStyle name="Normal 5 3 8 3" xfId="5639" xr:uid="{00000000-0005-0000-0000-0000A71A0000}"/>
    <cellStyle name="Normal 5 3 8 3 2" xfId="14081" xr:uid="{3258297A-2FEA-4407-9B98-EB97CB1D8CBE}"/>
    <cellStyle name="Normal 5 3 8 4" xfId="9863" xr:uid="{00AA81F1-D511-41C1-89F4-E9EBAAECBEC1}"/>
    <cellStyle name="Normal 5 3 9" xfId="1744" xr:uid="{00000000-0005-0000-0000-0000A81A0000}"/>
    <cellStyle name="Normal 5 3 9 2" xfId="3974" xr:uid="{00000000-0005-0000-0000-0000A91A0000}"/>
    <cellStyle name="Normal 5 3 9 2 2" xfId="8197" xr:uid="{00000000-0005-0000-0000-0000AA1A0000}"/>
    <cellStyle name="Normal 5 3 9 2 2 2" xfId="16639" xr:uid="{C32FB296-4786-4F63-B1DD-FD787E5C54A2}"/>
    <cellStyle name="Normal 5 3 9 2 3" xfId="12421" xr:uid="{802CDD30-5767-4FE2-B750-1B54B8D96C9A}"/>
    <cellStyle name="Normal 5 3 9 3" xfId="6052" xr:uid="{00000000-0005-0000-0000-0000AB1A0000}"/>
    <cellStyle name="Normal 5 3 9 3 2" xfId="14494" xr:uid="{2475F7E1-D765-4503-B117-1D41CDC4F71B}"/>
    <cellStyle name="Normal 5 3 9 4" xfId="10276" xr:uid="{1D8B2948-E15D-4C56-8AC0-17AF240F968C}"/>
    <cellStyle name="Normal 5 4" xfId="456" xr:uid="{00000000-0005-0000-0000-0000AC1A0000}"/>
    <cellStyle name="Normal 5 4 10" xfId="4829" xr:uid="{00000000-0005-0000-0000-0000AD1A0000}"/>
    <cellStyle name="Normal 5 4 10 2" xfId="13271" xr:uid="{93983A47-5E9A-4675-836F-71B83E166799}"/>
    <cellStyle name="Normal 5 4 11" xfId="9053" xr:uid="{E6FE4813-8728-41C4-A056-71F979D67617}"/>
    <cellStyle name="Normal 5 4 2" xfId="457" xr:uid="{00000000-0005-0000-0000-0000AE1A0000}"/>
    <cellStyle name="Normal 5 4 2 10" xfId="9054" xr:uid="{4382F8F4-4D01-43E0-9A76-0B535C85E1A5}"/>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2FBC8F3A-AC64-4F2B-A130-3739141A0830}"/>
    <cellStyle name="Normal 5 4 2 2 2 2 2 3" xfId="11614" xr:uid="{B159F641-16F2-4531-9BF7-8A98CFC2C7AE}"/>
    <cellStyle name="Normal 5 4 2 2 2 2 3" xfId="5245" xr:uid="{00000000-0005-0000-0000-0000B41A0000}"/>
    <cellStyle name="Normal 5 4 2 2 2 2 3 2" xfId="13687" xr:uid="{9F42815A-47AA-4CEA-ABE3-9FC251E2221F}"/>
    <cellStyle name="Normal 5 4 2 2 2 2 4" xfId="9469" xr:uid="{BBC4B490-C044-445E-9DF9-D98888494B29}"/>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28F65414-20B6-4B25-90A6-BD6754B13F3E}"/>
    <cellStyle name="Normal 5 4 2 2 2 3 2 3" xfId="12027" xr:uid="{4B0B631B-EF5E-4E23-9B48-D5518FAA0730}"/>
    <cellStyle name="Normal 5 4 2 2 2 3 3" xfId="5658" xr:uid="{00000000-0005-0000-0000-0000B81A0000}"/>
    <cellStyle name="Normal 5 4 2 2 2 3 3 2" xfId="14100" xr:uid="{7D24D14B-3066-43F0-8377-43983410894D}"/>
    <cellStyle name="Normal 5 4 2 2 2 3 4" xfId="9882" xr:uid="{9A9C1EA9-49D8-4836-BC59-F450AA782703}"/>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3BAB188-3C2F-4388-94DE-C4470F064FD4}"/>
    <cellStyle name="Normal 5 4 2 2 2 4 2 3" xfId="12440" xr:uid="{FE1A690B-5D65-42F6-BBDF-AE5888C5BF3E}"/>
    <cellStyle name="Normal 5 4 2 2 2 4 3" xfId="6071" xr:uid="{00000000-0005-0000-0000-0000BC1A0000}"/>
    <cellStyle name="Normal 5 4 2 2 2 4 3 2" xfId="14513" xr:uid="{29B9F685-8A8D-4CF4-9ACC-FC3B1327437B}"/>
    <cellStyle name="Normal 5 4 2 2 2 4 4" xfId="10295" xr:uid="{2A0BBEC6-0BC8-4640-91C5-2FCDD14A47E7}"/>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52DEF0DF-A039-4F5A-B013-1A19E7E512E4}"/>
    <cellStyle name="Normal 5 4 2 2 2 5 2 3" xfId="12853" xr:uid="{39D83E83-5F84-4BFD-925D-E17CD70D97EC}"/>
    <cellStyle name="Normal 5 4 2 2 2 5 3" xfId="6484" xr:uid="{00000000-0005-0000-0000-0000C01A0000}"/>
    <cellStyle name="Normal 5 4 2 2 2 5 3 2" xfId="14926" xr:uid="{852D1B79-DD1D-4608-ADF7-7760DC6CE681}"/>
    <cellStyle name="Normal 5 4 2 2 2 5 4" xfId="10708" xr:uid="{E7505D33-6EA2-44F8-A89E-14F4ED2DACC5}"/>
    <cellStyle name="Normal 5 4 2 2 2 6" xfId="2613" xr:uid="{00000000-0005-0000-0000-0000C11A0000}"/>
    <cellStyle name="Normal 5 4 2 2 2 6 2" xfId="6897" xr:uid="{00000000-0005-0000-0000-0000C21A0000}"/>
    <cellStyle name="Normal 5 4 2 2 2 6 2 2" xfId="15339" xr:uid="{5C4AE1DD-EA4D-47EE-BE76-F5F7B9AA6C3A}"/>
    <cellStyle name="Normal 5 4 2 2 2 6 3" xfId="11121" xr:uid="{2CE52252-FB44-4D64-977D-FA451FCA5F9E}"/>
    <cellStyle name="Normal 5 4 2 2 2 7" xfId="4832" xr:uid="{00000000-0005-0000-0000-0000C31A0000}"/>
    <cellStyle name="Normal 5 4 2 2 2 7 2" xfId="13274" xr:uid="{66265920-F36F-4785-8EFA-974EBC6E883C}"/>
    <cellStyle name="Normal 5 4 2 2 2 8" xfId="9056" xr:uid="{5019C8A0-EA80-4E59-A390-B9A71E97DB7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7B43B915-E6EF-4F16-BF05-B2D34CD26098}"/>
    <cellStyle name="Normal 5 4 2 2 3 2 3" xfId="11613" xr:uid="{BB833E81-D972-4637-BFBF-DD3DB321878B}"/>
    <cellStyle name="Normal 5 4 2 2 3 3" xfId="5244" xr:uid="{00000000-0005-0000-0000-0000C71A0000}"/>
    <cellStyle name="Normal 5 4 2 2 3 3 2" xfId="13686" xr:uid="{002E806E-8689-4644-AB65-642D1F0B24F9}"/>
    <cellStyle name="Normal 5 4 2 2 3 4" xfId="9468" xr:uid="{ED3F23C7-20A1-4FB7-B85D-F639A422F0DA}"/>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7DD259F8-EA18-40E5-81B2-F5B5A30CD54E}"/>
    <cellStyle name="Normal 5 4 2 2 4 2 3" xfId="12026" xr:uid="{2B8AA63D-A187-459C-B828-7235C78FB5EC}"/>
    <cellStyle name="Normal 5 4 2 2 4 3" xfId="5657" xr:uid="{00000000-0005-0000-0000-0000CB1A0000}"/>
    <cellStyle name="Normal 5 4 2 2 4 3 2" xfId="14099" xr:uid="{B18934CF-0109-4B76-A723-85B686148A2F}"/>
    <cellStyle name="Normal 5 4 2 2 4 4" xfId="9881" xr:uid="{305B0FF3-6C19-4E31-9456-261934F64502}"/>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A4CCE760-F5AE-446A-8CB9-2B9D2F0017A2}"/>
    <cellStyle name="Normal 5 4 2 2 5 2 3" xfId="12439" xr:uid="{13CA4BDB-32CE-4221-9837-231EFC348F2B}"/>
    <cellStyle name="Normal 5 4 2 2 5 3" xfId="6070" xr:uid="{00000000-0005-0000-0000-0000CF1A0000}"/>
    <cellStyle name="Normal 5 4 2 2 5 3 2" xfId="14512" xr:uid="{9A2FEBE5-B1B2-48C4-8C2F-998D58808DEE}"/>
    <cellStyle name="Normal 5 4 2 2 5 4" xfId="10294" xr:uid="{786A4B14-F37E-4121-940C-081ED8CBE30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5D257E20-3A3D-4026-9966-0ECB0D898CC2}"/>
    <cellStyle name="Normal 5 4 2 2 6 2 3" xfId="12852" xr:uid="{B9825FED-77E4-4421-BA1A-23CD5E7D13F5}"/>
    <cellStyle name="Normal 5 4 2 2 6 3" xfId="6483" xr:uid="{00000000-0005-0000-0000-0000D31A0000}"/>
    <cellStyle name="Normal 5 4 2 2 6 3 2" xfId="14925" xr:uid="{D15ED6A2-C7E9-48B9-AFB6-BA0AA1E21BB7}"/>
    <cellStyle name="Normal 5 4 2 2 6 4" xfId="10707" xr:uid="{79E8079D-45A3-45CB-A3E5-DC97AB612EFE}"/>
    <cellStyle name="Normal 5 4 2 2 7" xfId="2612" xr:uid="{00000000-0005-0000-0000-0000D41A0000}"/>
    <cellStyle name="Normal 5 4 2 2 7 2" xfId="6896" xr:uid="{00000000-0005-0000-0000-0000D51A0000}"/>
    <cellStyle name="Normal 5 4 2 2 7 2 2" xfId="15338" xr:uid="{F9E55469-3E1D-44C6-BA6D-59AFA217755E}"/>
    <cellStyle name="Normal 5 4 2 2 7 3" xfId="11120" xr:uid="{0D7298AD-696F-4D75-B84C-EABBFA3C73B8}"/>
    <cellStyle name="Normal 5 4 2 2 8" xfId="4831" xr:uid="{00000000-0005-0000-0000-0000D61A0000}"/>
    <cellStyle name="Normal 5 4 2 2 8 2" xfId="13273" xr:uid="{4AFD9FDA-1D41-4F49-977B-4F3A5D4EA274}"/>
    <cellStyle name="Normal 5 4 2 2 9" xfId="9055" xr:uid="{3F70DA83-7125-40BD-8A06-8EB3A99D9C6C}"/>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EBE5FAAA-FE1D-4DAD-A08A-1BCA51B587FA}"/>
    <cellStyle name="Normal 5 4 2 3 2 2 3" xfId="11615" xr:uid="{21712FC5-856D-42E0-8454-EF85A7F6629C}"/>
    <cellStyle name="Normal 5 4 2 3 2 3" xfId="5246" xr:uid="{00000000-0005-0000-0000-0000DB1A0000}"/>
    <cellStyle name="Normal 5 4 2 3 2 3 2" xfId="13688" xr:uid="{FD1B3955-042B-4A35-A7A6-42D0BFEABD96}"/>
    <cellStyle name="Normal 5 4 2 3 2 4" xfId="9470" xr:uid="{C08DCD86-762D-472B-8694-841A5A650A0F}"/>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9A9E608C-F365-4689-BCCD-70B14E3DC5A7}"/>
    <cellStyle name="Normal 5 4 2 3 3 2 3" xfId="12028" xr:uid="{C7C668A9-26F9-4409-BA1B-42CA02B270B5}"/>
    <cellStyle name="Normal 5 4 2 3 3 3" xfId="5659" xr:uid="{00000000-0005-0000-0000-0000DF1A0000}"/>
    <cellStyle name="Normal 5 4 2 3 3 3 2" xfId="14101" xr:uid="{3088812B-0BFE-4D21-9E0E-40E6A41C4F9F}"/>
    <cellStyle name="Normal 5 4 2 3 3 4" xfId="9883" xr:uid="{192D038D-8E7C-48F5-B3B8-12C1E899AE94}"/>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09F7B67A-CBB3-4988-80BA-C276960096EE}"/>
    <cellStyle name="Normal 5 4 2 3 4 2 3" xfId="12441" xr:uid="{D134DC12-46DD-4D22-9150-51015F45471B}"/>
    <cellStyle name="Normal 5 4 2 3 4 3" xfId="6072" xr:uid="{00000000-0005-0000-0000-0000E31A0000}"/>
    <cellStyle name="Normal 5 4 2 3 4 3 2" xfId="14514" xr:uid="{F0F03163-8F1C-40DD-AEAD-70471730C6A4}"/>
    <cellStyle name="Normal 5 4 2 3 4 4" xfId="10296" xr:uid="{57AC8EFC-330F-4EA4-8FDC-7CCE9D174C2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D57E8BA0-B333-4A7B-AF14-BE5C7527067B}"/>
    <cellStyle name="Normal 5 4 2 3 5 2 3" xfId="12854" xr:uid="{D13CAA8C-1F03-4A36-937D-4F098508E0C5}"/>
    <cellStyle name="Normal 5 4 2 3 5 3" xfId="6485" xr:uid="{00000000-0005-0000-0000-0000E71A0000}"/>
    <cellStyle name="Normal 5 4 2 3 5 3 2" xfId="14927" xr:uid="{DAB579B4-9B5B-4697-BD98-2798CBF52C38}"/>
    <cellStyle name="Normal 5 4 2 3 5 4" xfId="10709" xr:uid="{0302043F-520D-437A-941F-20CD639E0D6E}"/>
    <cellStyle name="Normal 5 4 2 3 6" xfId="2614" xr:uid="{00000000-0005-0000-0000-0000E81A0000}"/>
    <cellStyle name="Normal 5 4 2 3 6 2" xfId="6898" xr:uid="{00000000-0005-0000-0000-0000E91A0000}"/>
    <cellStyle name="Normal 5 4 2 3 6 2 2" xfId="15340" xr:uid="{4A3858B3-D521-4AE4-A318-8F74E1E200D9}"/>
    <cellStyle name="Normal 5 4 2 3 6 3" xfId="11122" xr:uid="{A499487F-3487-4BCE-B850-208F26473218}"/>
    <cellStyle name="Normal 5 4 2 3 7" xfId="4833" xr:uid="{00000000-0005-0000-0000-0000EA1A0000}"/>
    <cellStyle name="Normal 5 4 2 3 7 2" xfId="13275" xr:uid="{15BDA20E-6DB4-4A64-8D4A-7A5629AB6A16}"/>
    <cellStyle name="Normal 5 4 2 3 8" xfId="9057" xr:uid="{E7DE8DD1-D86F-425E-8598-81B657299EBF}"/>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C083EC7B-00EC-42D6-B6DE-91459B4B9BC4}"/>
    <cellStyle name="Normal 5 4 2 4 2 3" xfId="11612" xr:uid="{41EE2B54-FF96-4C23-9090-579209EDDB42}"/>
    <cellStyle name="Normal 5 4 2 4 3" xfId="5243" xr:uid="{00000000-0005-0000-0000-0000EE1A0000}"/>
    <cellStyle name="Normal 5 4 2 4 3 2" xfId="13685" xr:uid="{74C80897-C677-42A5-B9C9-A598998888F6}"/>
    <cellStyle name="Normal 5 4 2 4 4" xfId="9467" xr:uid="{7CBB877B-D7E5-4DDC-945C-3D6AF67806B8}"/>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E65D5334-27AD-4E7E-95B3-A538C3F19637}"/>
    <cellStyle name="Normal 5 4 2 5 2 3" xfId="12025" xr:uid="{79B541C3-E294-4238-B3C8-2C4558342F75}"/>
    <cellStyle name="Normal 5 4 2 5 3" xfId="5656" xr:uid="{00000000-0005-0000-0000-0000F21A0000}"/>
    <cellStyle name="Normal 5 4 2 5 3 2" xfId="14098" xr:uid="{FA7F836E-10E7-45AE-A3F6-E9305B5A97E2}"/>
    <cellStyle name="Normal 5 4 2 5 4" xfId="9880" xr:uid="{2BE91509-F872-435C-9F92-258F60F98E88}"/>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1E574CFA-FC97-49DA-9EF8-6B4A81B768DF}"/>
    <cellStyle name="Normal 5 4 2 6 2 3" xfId="12438" xr:uid="{55C4B7A5-357B-4E4C-BAE3-BAE2AF611852}"/>
    <cellStyle name="Normal 5 4 2 6 3" xfId="6069" xr:uid="{00000000-0005-0000-0000-0000F61A0000}"/>
    <cellStyle name="Normal 5 4 2 6 3 2" xfId="14511" xr:uid="{410F4A15-9BEF-4C6D-AFDF-978A29600C47}"/>
    <cellStyle name="Normal 5 4 2 6 4" xfId="10293" xr:uid="{D244108F-BC19-4CA5-BFA2-A9B5D3061367}"/>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8E5002A9-31D5-46C0-A763-EE3FD91CB13D}"/>
    <cellStyle name="Normal 5 4 2 7 2 3" xfId="12851" xr:uid="{C8923887-293D-43D1-9BD0-D949113D11EB}"/>
    <cellStyle name="Normal 5 4 2 7 3" xfId="6482" xr:uid="{00000000-0005-0000-0000-0000FA1A0000}"/>
    <cellStyle name="Normal 5 4 2 7 3 2" xfId="14924" xr:uid="{7275691B-FC06-4C27-A0E1-C34FDD190CB0}"/>
    <cellStyle name="Normal 5 4 2 7 4" xfId="10706" xr:uid="{223ADFF6-042F-4656-BA53-C7583CC0F1DE}"/>
    <cellStyle name="Normal 5 4 2 8" xfId="2611" xr:uid="{00000000-0005-0000-0000-0000FB1A0000}"/>
    <cellStyle name="Normal 5 4 2 8 2" xfId="6895" xr:uid="{00000000-0005-0000-0000-0000FC1A0000}"/>
    <cellStyle name="Normal 5 4 2 8 2 2" xfId="15337" xr:uid="{0CA7F02D-E10C-4E8D-913C-823384FF2881}"/>
    <cellStyle name="Normal 5 4 2 8 3" xfId="11119" xr:uid="{41B5D027-5E67-4408-9156-412F3F6F2060}"/>
    <cellStyle name="Normal 5 4 2 9" xfId="4830" xr:uid="{00000000-0005-0000-0000-0000FD1A0000}"/>
    <cellStyle name="Normal 5 4 2 9 2" xfId="13272" xr:uid="{86618A3A-3311-4932-A4CD-24071EBEC925}"/>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E82B38C6-7D12-4DA8-BFF4-EC99E0D6EA61}"/>
    <cellStyle name="Normal 5 4 3 2 2 2 3" xfId="11617" xr:uid="{87EB5645-26DB-44DC-80D6-F5661632380A}"/>
    <cellStyle name="Normal 5 4 3 2 2 3" xfId="5248" xr:uid="{00000000-0005-0000-0000-0000031B0000}"/>
    <cellStyle name="Normal 5 4 3 2 2 3 2" xfId="13690" xr:uid="{E7A1EA02-7DA7-4500-8606-ABE482D44B68}"/>
    <cellStyle name="Normal 5 4 3 2 2 4" xfId="9472" xr:uid="{980886CB-7C61-425C-B2DD-620A5B700DFA}"/>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E4FA7827-B38E-4A33-A21A-CD71DC2D1C5D}"/>
    <cellStyle name="Normal 5 4 3 2 3 2 3" xfId="12030" xr:uid="{66C9F381-F664-4713-9D68-CFDE2C986773}"/>
    <cellStyle name="Normal 5 4 3 2 3 3" xfId="5661" xr:uid="{00000000-0005-0000-0000-0000071B0000}"/>
    <cellStyle name="Normal 5 4 3 2 3 3 2" xfId="14103" xr:uid="{C3A90A87-EB21-41F7-9063-372CE4BB8633}"/>
    <cellStyle name="Normal 5 4 3 2 3 4" xfId="9885" xr:uid="{8B8A4EDA-8C59-433F-925A-4D5209DD769F}"/>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644DB214-BF05-43AA-BB8E-0DA1A2503CF6}"/>
    <cellStyle name="Normal 5 4 3 2 4 2 3" xfId="12443" xr:uid="{18522C23-AC56-4AF1-9ADB-765F75614B22}"/>
    <cellStyle name="Normal 5 4 3 2 4 3" xfId="6074" xr:uid="{00000000-0005-0000-0000-00000B1B0000}"/>
    <cellStyle name="Normal 5 4 3 2 4 3 2" xfId="14516" xr:uid="{1F8B0C31-AA50-4920-9A07-0F50942FB4C9}"/>
    <cellStyle name="Normal 5 4 3 2 4 4" xfId="10298" xr:uid="{4B7FF016-76F4-4512-ABB3-CF9AEB736792}"/>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50F0D734-ECEB-42CF-B97D-D1519746610E}"/>
    <cellStyle name="Normal 5 4 3 2 5 2 3" xfId="12856" xr:uid="{F2538E0E-5056-473D-AFF9-1918135C2497}"/>
    <cellStyle name="Normal 5 4 3 2 5 3" xfId="6487" xr:uid="{00000000-0005-0000-0000-00000F1B0000}"/>
    <cellStyle name="Normal 5 4 3 2 5 3 2" xfId="14929" xr:uid="{EE3275B3-5B09-4453-BE14-976481D3BD9C}"/>
    <cellStyle name="Normal 5 4 3 2 5 4" xfId="10711" xr:uid="{2A29DBEA-85A2-48C9-811B-E0B18427DB80}"/>
    <cellStyle name="Normal 5 4 3 2 6" xfId="2616" xr:uid="{00000000-0005-0000-0000-0000101B0000}"/>
    <cellStyle name="Normal 5 4 3 2 6 2" xfId="6900" xr:uid="{00000000-0005-0000-0000-0000111B0000}"/>
    <cellStyle name="Normal 5 4 3 2 6 2 2" xfId="15342" xr:uid="{AD2BC81C-30A2-4782-B5B6-F30D73B614AE}"/>
    <cellStyle name="Normal 5 4 3 2 6 3" xfId="11124" xr:uid="{68807626-BFD9-49C3-AFDB-FF658D138E65}"/>
    <cellStyle name="Normal 5 4 3 2 7" xfId="4835" xr:uid="{00000000-0005-0000-0000-0000121B0000}"/>
    <cellStyle name="Normal 5 4 3 2 7 2" xfId="13277" xr:uid="{1518C574-7F04-4387-9568-0ABE066AE689}"/>
    <cellStyle name="Normal 5 4 3 2 8" xfId="9059" xr:uid="{507EA9DB-E651-4210-8BD7-46B9A760B681}"/>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25B4A5E0-875D-4952-8CBC-0CDD05B43CFC}"/>
    <cellStyle name="Normal 5 4 3 3 2 3" xfId="11616" xr:uid="{6D26D421-E91A-466C-B5E0-F4A8E42118E6}"/>
    <cellStyle name="Normal 5 4 3 3 3" xfId="5247" xr:uid="{00000000-0005-0000-0000-0000161B0000}"/>
    <cellStyle name="Normal 5 4 3 3 3 2" xfId="13689" xr:uid="{19B42BA6-4A3D-4AE7-AE93-98B77DE2F20F}"/>
    <cellStyle name="Normal 5 4 3 3 4" xfId="9471" xr:uid="{701F9E25-201A-42A7-AEB6-EA57FC4270C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451FBD77-D318-4C77-B666-9BF2B8C4CFAD}"/>
    <cellStyle name="Normal 5 4 3 4 2 3" xfId="12029" xr:uid="{12C126D9-CEAE-4D03-854D-77C1EA1C2A61}"/>
    <cellStyle name="Normal 5 4 3 4 3" xfId="5660" xr:uid="{00000000-0005-0000-0000-00001A1B0000}"/>
    <cellStyle name="Normal 5 4 3 4 3 2" xfId="14102" xr:uid="{588D500D-6BC4-4BD4-8351-2D29DD83F3BD}"/>
    <cellStyle name="Normal 5 4 3 4 4" xfId="9884" xr:uid="{6ED6A239-69B1-49D5-A9A5-D29052ABCBE6}"/>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4D24657B-2D6C-4A8A-A729-DABD73DC6199}"/>
    <cellStyle name="Normal 5 4 3 5 2 3" xfId="12442" xr:uid="{C4DC5293-CD39-4891-ADDE-8C199DA1B86B}"/>
    <cellStyle name="Normal 5 4 3 5 3" xfId="6073" xr:uid="{00000000-0005-0000-0000-00001E1B0000}"/>
    <cellStyle name="Normal 5 4 3 5 3 2" xfId="14515" xr:uid="{314545EA-48B8-46F3-B31B-DD26CC532F7B}"/>
    <cellStyle name="Normal 5 4 3 5 4" xfId="10297" xr:uid="{813825ED-10F3-485D-8F39-9369AD5CF1EB}"/>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81BA54FD-6157-4FAC-AEFD-3380F7DDA174}"/>
    <cellStyle name="Normal 5 4 3 6 2 3" xfId="12855" xr:uid="{981B826E-55F5-47A8-86CD-B6925A5BDC3D}"/>
    <cellStyle name="Normal 5 4 3 6 3" xfId="6486" xr:uid="{00000000-0005-0000-0000-0000221B0000}"/>
    <cellStyle name="Normal 5 4 3 6 3 2" xfId="14928" xr:uid="{B71793E7-B17B-4416-9B88-A100C560EA83}"/>
    <cellStyle name="Normal 5 4 3 6 4" xfId="10710" xr:uid="{98A8CAFF-D0C9-4958-9961-F62BA03277B3}"/>
    <cellStyle name="Normal 5 4 3 7" xfId="2615" xr:uid="{00000000-0005-0000-0000-0000231B0000}"/>
    <cellStyle name="Normal 5 4 3 7 2" xfId="6899" xr:uid="{00000000-0005-0000-0000-0000241B0000}"/>
    <cellStyle name="Normal 5 4 3 7 2 2" xfId="15341" xr:uid="{69540682-C860-4A33-A405-FE304C082C0A}"/>
    <cellStyle name="Normal 5 4 3 7 3" xfId="11123" xr:uid="{516CFBB0-D05A-4862-8AE9-CDE5F2CC38B1}"/>
    <cellStyle name="Normal 5 4 3 8" xfId="4834" xr:uid="{00000000-0005-0000-0000-0000251B0000}"/>
    <cellStyle name="Normal 5 4 3 8 2" xfId="13276" xr:uid="{28D1A6F2-503A-4F3E-A670-C09675A8287A}"/>
    <cellStyle name="Normal 5 4 3 9" xfId="9058" xr:uid="{3F420FF4-F74C-46D2-BEE1-F4D9DE8FCAA3}"/>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B72F18D1-0A42-431C-B08F-CC1BF3003BB6}"/>
    <cellStyle name="Normal 5 4 4 2 2 3" xfId="11618" xr:uid="{506F61CE-BB16-4E63-9AB4-F7FFCADC06DB}"/>
    <cellStyle name="Normal 5 4 4 2 3" xfId="5249" xr:uid="{00000000-0005-0000-0000-00002A1B0000}"/>
    <cellStyle name="Normal 5 4 4 2 3 2" xfId="13691" xr:uid="{805956B9-F414-4E86-83A6-4C862915927E}"/>
    <cellStyle name="Normal 5 4 4 2 4" xfId="9473" xr:uid="{D5D5ACFA-6EEE-4DEF-9DEA-B4A9B7661469}"/>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4CBFBE5E-02D7-49E5-A896-B145B9284BA4}"/>
    <cellStyle name="Normal 5 4 4 3 2 3" xfId="12031" xr:uid="{0F7C40DA-8646-44FD-9A41-9F85E4A727CC}"/>
    <cellStyle name="Normal 5 4 4 3 3" xfId="5662" xr:uid="{00000000-0005-0000-0000-00002E1B0000}"/>
    <cellStyle name="Normal 5 4 4 3 3 2" xfId="14104" xr:uid="{65AD090B-3D26-4986-B14E-1273BAEAD9E4}"/>
    <cellStyle name="Normal 5 4 4 3 4" xfId="9886" xr:uid="{6E5162EA-700A-4DCF-8454-13255DED6593}"/>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78650A48-BEB7-45D0-AF3C-57687F7157FE}"/>
    <cellStyle name="Normal 5 4 4 4 2 3" xfId="12444" xr:uid="{6454D4CB-9DE5-4A1C-847B-0A35740F44BB}"/>
    <cellStyle name="Normal 5 4 4 4 3" xfId="6075" xr:uid="{00000000-0005-0000-0000-0000321B0000}"/>
    <cellStyle name="Normal 5 4 4 4 3 2" xfId="14517" xr:uid="{1635A76D-A10F-4209-9E63-411D8C1A3A1F}"/>
    <cellStyle name="Normal 5 4 4 4 4" xfId="10299" xr:uid="{85A8A6C0-3CC0-4D88-94A8-C21C97EA29FF}"/>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EFFAB0F3-842E-44E5-AD1E-3B39B344FCF7}"/>
    <cellStyle name="Normal 5 4 4 5 2 3" xfId="12857" xr:uid="{DD86A463-CDCC-45EA-AA41-30E65BD9F45D}"/>
    <cellStyle name="Normal 5 4 4 5 3" xfId="6488" xr:uid="{00000000-0005-0000-0000-0000361B0000}"/>
    <cellStyle name="Normal 5 4 4 5 3 2" xfId="14930" xr:uid="{32E7AF46-9111-49E2-A549-7CA2738A33B9}"/>
    <cellStyle name="Normal 5 4 4 5 4" xfId="10712" xr:uid="{441B301D-6953-4738-99BF-F3E57BA44700}"/>
    <cellStyle name="Normal 5 4 4 6" xfId="2617" xr:uid="{00000000-0005-0000-0000-0000371B0000}"/>
    <cellStyle name="Normal 5 4 4 6 2" xfId="6901" xr:uid="{00000000-0005-0000-0000-0000381B0000}"/>
    <cellStyle name="Normal 5 4 4 6 2 2" xfId="15343" xr:uid="{29A17F18-C17A-4D63-A88A-E53493110EC4}"/>
    <cellStyle name="Normal 5 4 4 6 3" xfId="11125" xr:uid="{81979264-EBCF-405C-B063-FB047EA21941}"/>
    <cellStyle name="Normal 5 4 4 7" xfId="4836" xr:uid="{00000000-0005-0000-0000-0000391B0000}"/>
    <cellStyle name="Normal 5 4 4 7 2" xfId="13278" xr:uid="{7FD1FC53-5CCD-48AC-9214-32125DE478B6}"/>
    <cellStyle name="Normal 5 4 4 8" xfId="9060" xr:uid="{233BA9A1-935D-41C9-BDB8-16DF64D424CA}"/>
    <cellStyle name="Normal 5 4 5" xfId="930" xr:uid="{00000000-0005-0000-0000-00003A1B0000}"/>
    <cellStyle name="Normal 5 4 5 2" xfId="3164" xr:uid="{00000000-0005-0000-0000-00003B1B0000}"/>
    <cellStyle name="Normal 5 4 5 2 2" xfId="7387" xr:uid="{00000000-0005-0000-0000-00003C1B0000}"/>
    <cellStyle name="Normal 5 4 5 2 2 2" xfId="15829" xr:uid="{A9EF7FC7-5C4C-4DFD-9D6D-A294557E2AED}"/>
    <cellStyle name="Normal 5 4 5 2 3" xfId="11611" xr:uid="{F9F2FC44-E1C5-485C-87CD-083A37827153}"/>
    <cellStyle name="Normal 5 4 5 3" xfId="5242" xr:uid="{00000000-0005-0000-0000-00003D1B0000}"/>
    <cellStyle name="Normal 5 4 5 3 2" xfId="13684" xr:uid="{F1EFF2EC-B7A5-4E67-8083-8ACE5476F269}"/>
    <cellStyle name="Normal 5 4 5 4" xfId="9466" xr:uid="{FE46C207-488A-4F63-8182-0F049F4C029F}"/>
    <cellStyle name="Normal 5 4 6" xfId="1347" xr:uid="{00000000-0005-0000-0000-00003E1B0000}"/>
    <cellStyle name="Normal 5 4 6 2" xfId="3577" xr:uid="{00000000-0005-0000-0000-00003F1B0000}"/>
    <cellStyle name="Normal 5 4 6 2 2" xfId="7800" xr:uid="{00000000-0005-0000-0000-0000401B0000}"/>
    <cellStyle name="Normal 5 4 6 2 2 2" xfId="16242" xr:uid="{224068B9-ABC6-4CE8-A2EB-5A2A604B7864}"/>
    <cellStyle name="Normal 5 4 6 2 3" xfId="12024" xr:uid="{DF085979-3629-46C7-97AD-CF894AFC12FA}"/>
    <cellStyle name="Normal 5 4 6 3" xfId="5655" xr:uid="{00000000-0005-0000-0000-0000411B0000}"/>
    <cellStyle name="Normal 5 4 6 3 2" xfId="14097" xr:uid="{0DF3FE84-9FFD-44D1-B3C7-CDB5B4A9E825}"/>
    <cellStyle name="Normal 5 4 6 4" xfId="9879" xr:uid="{CEDA4200-8960-4546-AF8B-EC2CDB580A36}"/>
    <cellStyle name="Normal 5 4 7" xfId="1760" xr:uid="{00000000-0005-0000-0000-0000421B0000}"/>
    <cellStyle name="Normal 5 4 7 2" xfId="3990" xr:uid="{00000000-0005-0000-0000-0000431B0000}"/>
    <cellStyle name="Normal 5 4 7 2 2" xfId="8213" xr:uid="{00000000-0005-0000-0000-0000441B0000}"/>
    <cellStyle name="Normal 5 4 7 2 2 2" xfId="16655" xr:uid="{D5389530-47D9-4FC6-BCC8-171A0DC32604}"/>
    <cellStyle name="Normal 5 4 7 2 3" xfId="12437" xr:uid="{35B5E8D0-28E0-4333-8640-F90256AACA13}"/>
    <cellStyle name="Normal 5 4 7 3" xfId="6068" xr:uid="{00000000-0005-0000-0000-0000451B0000}"/>
    <cellStyle name="Normal 5 4 7 3 2" xfId="14510" xr:uid="{4FA878E2-4273-4F01-98D3-D07718C6F430}"/>
    <cellStyle name="Normal 5 4 7 4" xfId="10292" xr:uid="{EEE8B73C-71D7-409B-8B33-F841972C34D0}"/>
    <cellStyle name="Normal 5 4 8" xfId="2174" xr:uid="{00000000-0005-0000-0000-0000461B0000}"/>
    <cellStyle name="Normal 5 4 8 2" xfId="4403" xr:uid="{00000000-0005-0000-0000-0000471B0000}"/>
    <cellStyle name="Normal 5 4 8 2 2" xfId="8626" xr:uid="{00000000-0005-0000-0000-0000481B0000}"/>
    <cellStyle name="Normal 5 4 8 2 2 2" xfId="17068" xr:uid="{F322A180-A663-4C2A-A1A7-15FF5CFE2055}"/>
    <cellStyle name="Normal 5 4 8 2 3" xfId="12850" xr:uid="{DAC1CA03-9A08-498C-B400-6100B80760D7}"/>
    <cellStyle name="Normal 5 4 8 3" xfId="6481" xr:uid="{00000000-0005-0000-0000-0000491B0000}"/>
    <cellStyle name="Normal 5 4 8 3 2" xfId="14923" xr:uid="{02997925-2804-414B-BFFE-F3653EDDB1BB}"/>
    <cellStyle name="Normal 5 4 8 4" xfId="10705" xr:uid="{9B52D9CA-D235-40D6-87F1-D52DE5DF7281}"/>
    <cellStyle name="Normal 5 4 9" xfId="2610" xr:uid="{00000000-0005-0000-0000-00004A1B0000}"/>
    <cellStyle name="Normal 5 4 9 2" xfId="6894" xr:uid="{00000000-0005-0000-0000-00004B1B0000}"/>
    <cellStyle name="Normal 5 4 9 2 2" xfId="15336" xr:uid="{837B66A3-5289-45A7-9C37-F8D2B02A6C3D}"/>
    <cellStyle name="Normal 5 4 9 3" xfId="11118" xr:uid="{BD38CED6-2905-44A2-B783-8100DCDFA090}"/>
    <cellStyle name="Normal 5 5" xfId="464" xr:uid="{00000000-0005-0000-0000-00004C1B0000}"/>
    <cellStyle name="Normal 5 5 10" xfId="9061" xr:uid="{2ADE651F-BD25-442D-80FD-14454745573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F77BDBEB-5AE5-4957-AEAB-A4EC3034D8DE}"/>
    <cellStyle name="Normal 5 5 2 2 2 2 3" xfId="11621" xr:uid="{FF0DBD39-3D6B-40E0-BADC-20A5C9E37390}"/>
    <cellStyle name="Normal 5 5 2 2 2 3" xfId="5252" xr:uid="{00000000-0005-0000-0000-0000521B0000}"/>
    <cellStyle name="Normal 5 5 2 2 2 3 2" xfId="13694" xr:uid="{F5F04B7C-970D-4F17-8A83-E4FA459F22AB}"/>
    <cellStyle name="Normal 5 5 2 2 2 4" xfId="9476" xr:uid="{1A075AD3-0E37-4476-A8D7-46E2B651A330}"/>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4BA820CF-D714-4020-9798-28A7C17B6017}"/>
    <cellStyle name="Normal 5 5 2 2 3 2 3" xfId="12034" xr:uid="{90A76266-A1CF-420E-89BE-4B4D93D3F655}"/>
    <cellStyle name="Normal 5 5 2 2 3 3" xfId="5665" xr:uid="{00000000-0005-0000-0000-0000561B0000}"/>
    <cellStyle name="Normal 5 5 2 2 3 3 2" xfId="14107" xr:uid="{668C8F89-CB1B-4665-8AD7-393B4197A166}"/>
    <cellStyle name="Normal 5 5 2 2 3 4" xfId="9889" xr:uid="{8A55AA4F-3005-4F4A-92E1-6D49E6A8AB61}"/>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A9C5322D-ABBD-4971-B2E4-C7790D725519}"/>
    <cellStyle name="Normal 5 5 2 2 4 2 3" xfId="12447" xr:uid="{531F5EFA-FCCD-44FC-8409-313448DB02EB}"/>
    <cellStyle name="Normal 5 5 2 2 4 3" xfId="6078" xr:uid="{00000000-0005-0000-0000-00005A1B0000}"/>
    <cellStyle name="Normal 5 5 2 2 4 3 2" xfId="14520" xr:uid="{3092F122-3618-4B36-8369-6C3D536124EA}"/>
    <cellStyle name="Normal 5 5 2 2 4 4" xfId="10302" xr:uid="{CF4CF3C3-8281-42FE-8742-3F136FE6C10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CA33EBF-F3E1-4FB3-B4FD-B22E3DD4F64D}"/>
    <cellStyle name="Normal 5 5 2 2 5 2 3" xfId="12860" xr:uid="{6BB6EFE3-B8F1-47E3-BA1C-7CA8136914A0}"/>
    <cellStyle name="Normal 5 5 2 2 5 3" xfId="6491" xr:uid="{00000000-0005-0000-0000-00005E1B0000}"/>
    <cellStyle name="Normal 5 5 2 2 5 3 2" xfId="14933" xr:uid="{D7B51D49-A434-421D-B17B-4588E6045C97}"/>
    <cellStyle name="Normal 5 5 2 2 5 4" xfId="10715" xr:uid="{08EF17E4-B35D-444A-A23B-B88FDD059D73}"/>
    <cellStyle name="Normal 5 5 2 2 6" xfId="2620" xr:uid="{00000000-0005-0000-0000-00005F1B0000}"/>
    <cellStyle name="Normal 5 5 2 2 6 2" xfId="6904" xr:uid="{00000000-0005-0000-0000-0000601B0000}"/>
    <cellStyle name="Normal 5 5 2 2 6 2 2" xfId="15346" xr:uid="{E44857E4-2A15-437D-9DC5-D06BDEE56276}"/>
    <cellStyle name="Normal 5 5 2 2 6 3" xfId="11128" xr:uid="{161098FB-2B5F-423E-9D62-5994D9152970}"/>
    <cellStyle name="Normal 5 5 2 2 7" xfId="4839" xr:uid="{00000000-0005-0000-0000-0000611B0000}"/>
    <cellStyle name="Normal 5 5 2 2 7 2" xfId="13281" xr:uid="{C29507D4-C38D-48F6-B8E2-08801CFD282C}"/>
    <cellStyle name="Normal 5 5 2 2 8" xfId="9063" xr:uid="{04839BC5-2A08-4C4C-AC10-13B0DA223342}"/>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733F9619-4A01-4DA8-8665-2FCC3831C2F8}"/>
    <cellStyle name="Normal 5 5 2 3 2 3" xfId="11620" xr:uid="{6DAE7868-E6C2-44C8-BD12-5663FD1EE295}"/>
    <cellStyle name="Normal 5 5 2 3 3" xfId="5251" xr:uid="{00000000-0005-0000-0000-0000651B0000}"/>
    <cellStyle name="Normal 5 5 2 3 3 2" xfId="13693" xr:uid="{FDD869A8-1216-48D9-8E71-033793D9623A}"/>
    <cellStyle name="Normal 5 5 2 3 4" xfId="9475" xr:uid="{DC834CDD-35E2-4139-BACD-136EF50874D1}"/>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B1441E37-BE47-4D39-A42D-9889727F617F}"/>
    <cellStyle name="Normal 5 5 2 4 2 3" xfId="12033" xr:uid="{D1440595-5A62-46BA-B659-E591F275F5A2}"/>
    <cellStyle name="Normal 5 5 2 4 3" xfId="5664" xr:uid="{00000000-0005-0000-0000-0000691B0000}"/>
    <cellStyle name="Normal 5 5 2 4 3 2" xfId="14106" xr:uid="{ECE036D9-1052-4FF4-B636-AF15ECC5D8F2}"/>
    <cellStyle name="Normal 5 5 2 4 4" xfId="9888" xr:uid="{1DF27D07-C4BB-4FC8-B245-38B4F14518B5}"/>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9B600EFB-F899-4224-9752-68ECBF5C9CD7}"/>
    <cellStyle name="Normal 5 5 2 5 2 3" xfId="12446" xr:uid="{99498368-5031-4FEE-8810-8D40FFB09848}"/>
    <cellStyle name="Normal 5 5 2 5 3" xfId="6077" xr:uid="{00000000-0005-0000-0000-00006D1B0000}"/>
    <cellStyle name="Normal 5 5 2 5 3 2" xfId="14519" xr:uid="{6EAF82FC-C566-4C94-A67E-2E6A06C76CB3}"/>
    <cellStyle name="Normal 5 5 2 5 4" xfId="10301" xr:uid="{AD4DA11D-1AD2-40E9-8EC5-CE958D9072F1}"/>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0756ECF8-35E7-4FB5-BE74-14AFA9E6105F}"/>
    <cellStyle name="Normal 5 5 2 6 2 3" xfId="12859" xr:uid="{77F7F712-85A3-4093-9F64-46601371C3AC}"/>
    <cellStyle name="Normal 5 5 2 6 3" xfId="6490" xr:uid="{00000000-0005-0000-0000-0000711B0000}"/>
    <cellStyle name="Normal 5 5 2 6 3 2" xfId="14932" xr:uid="{4BB2E8AC-24FB-4C44-BFFE-84808FBDFD78}"/>
    <cellStyle name="Normal 5 5 2 6 4" xfId="10714" xr:uid="{219263FB-F5CF-47DB-B671-A7E10B0B08E1}"/>
    <cellStyle name="Normal 5 5 2 7" xfId="2619" xr:uid="{00000000-0005-0000-0000-0000721B0000}"/>
    <cellStyle name="Normal 5 5 2 7 2" xfId="6903" xr:uid="{00000000-0005-0000-0000-0000731B0000}"/>
    <cellStyle name="Normal 5 5 2 7 2 2" xfId="15345" xr:uid="{A8FDE78C-566C-4875-9B35-C61C1C41A0B7}"/>
    <cellStyle name="Normal 5 5 2 7 3" xfId="11127" xr:uid="{2D179184-9316-4177-8529-647BE681B762}"/>
    <cellStyle name="Normal 5 5 2 8" xfId="4838" xr:uid="{00000000-0005-0000-0000-0000741B0000}"/>
    <cellStyle name="Normal 5 5 2 8 2" xfId="13280" xr:uid="{1B5CB11C-115F-429A-AC10-531BCF2E9C78}"/>
    <cellStyle name="Normal 5 5 2 9" xfId="9062" xr:uid="{BC5C4A8A-81E7-428E-8B31-07982EB81D3A}"/>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CA4D7CBA-4B2A-46A5-8F30-2D9E50E7E51C}"/>
    <cellStyle name="Normal 5 5 3 2 2 3" xfId="11622" xr:uid="{13BB7A8E-0709-47FF-94B9-2FC088D77BBB}"/>
    <cellStyle name="Normal 5 5 3 2 3" xfId="5253" xr:uid="{00000000-0005-0000-0000-0000791B0000}"/>
    <cellStyle name="Normal 5 5 3 2 3 2" xfId="13695" xr:uid="{2FD1F539-8C18-4ED1-9064-CD081D1D97C3}"/>
    <cellStyle name="Normal 5 5 3 2 4" xfId="9477" xr:uid="{DC9CEC44-63C4-4BA5-BACC-841887D0FD56}"/>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283D80F3-0A0F-4F7A-B8B7-69D94F1382FC}"/>
    <cellStyle name="Normal 5 5 3 3 2 3" xfId="12035" xr:uid="{10D4FE8A-331B-4004-ADDB-7502487CD177}"/>
    <cellStyle name="Normal 5 5 3 3 3" xfId="5666" xr:uid="{00000000-0005-0000-0000-00007D1B0000}"/>
    <cellStyle name="Normal 5 5 3 3 3 2" xfId="14108" xr:uid="{5394BC08-6C9E-492E-B380-92E2882C82A5}"/>
    <cellStyle name="Normal 5 5 3 3 4" xfId="9890" xr:uid="{43C40705-A2B3-40F8-A858-D511246B071F}"/>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45782726-8420-4C04-A253-BEAE1F6AC2B5}"/>
    <cellStyle name="Normal 5 5 3 4 2 3" xfId="12448" xr:uid="{0C0C350F-1DCC-418E-B4D8-2F9CC6DF5699}"/>
    <cellStyle name="Normal 5 5 3 4 3" xfId="6079" xr:uid="{00000000-0005-0000-0000-0000811B0000}"/>
    <cellStyle name="Normal 5 5 3 4 3 2" xfId="14521" xr:uid="{B8B3B25E-54B6-4C35-A615-C30FC80564E8}"/>
    <cellStyle name="Normal 5 5 3 4 4" xfId="10303" xr:uid="{0971FCD2-7189-416D-AE9E-1291978D067C}"/>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7CF53074-FF80-46B6-82F4-AC3CE0DEB189}"/>
    <cellStyle name="Normal 5 5 3 5 2 3" xfId="12861" xr:uid="{8020F6A8-D235-476A-80A4-ACE3747339A3}"/>
    <cellStyle name="Normal 5 5 3 5 3" xfId="6492" xr:uid="{00000000-0005-0000-0000-0000851B0000}"/>
    <cellStyle name="Normal 5 5 3 5 3 2" xfId="14934" xr:uid="{E4872129-D149-48EF-8774-A055F7E0907F}"/>
    <cellStyle name="Normal 5 5 3 5 4" xfId="10716" xr:uid="{88BA2573-476A-4D8B-AACF-38CF95F70DB0}"/>
    <cellStyle name="Normal 5 5 3 6" xfId="2621" xr:uid="{00000000-0005-0000-0000-0000861B0000}"/>
    <cellStyle name="Normal 5 5 3 6 2" xfId="6905" xr:uid="{00000000-0005-0000-0000-0000871B0000}"/>
    <cellStyle name="Normal 5 5 3 6 2 2" xfId="15347" xr:uid="{8CB44B26-CFD4-46C7-8E04-476FE1FD7E18}"/>
    <cellStyle name="Normal 5 5 3 6 3" xfId="11129" xr:uid="{AF19CBF7-6E86-4C8C-8B6D-ADAFD5223276}"/>
    <cellStyle name="Normal 5 5 3 7" xfId="4840" xr:uid="{00000000-0005-0000-0000-0000881B0000}"/>
    <cellStyle name="Normal 5 5 3 7 2" xfId="13282" xr:uid="{53470997-65C9-426C-8C0C-2AADC0B237B9}"/>
    <cellStyle name="Normal 5 5 3 8" xfId="9064" xr:uid="{81EC944D-254F-473F-BAC6-9C7D3E3B122B}"/>
    <cellStyle name="Normal 5 5 4" xfId="938" xr:uid="{00000000-0005-0000-0000-0000891B0000}"/>
    <cellStyle name="Normal 5 5 4 2" xfId="3172" xr:uid="{00000000-0005-0000-0000-00008A1B0000}"/>
    <cellStyle name="Normal 5 5 4 2 2" xfId="7395" xr:uid="{00000000-0005-0000-0000-00008B1B0000}"/>
    <cellStyle name="Normal 5 5 4 2 2 2" xfId="15837" xr:uid="{399C24C7-D293-47C8-B97B-0F9F1E980DA7}"/>
    <cellStyle name="Normal 5 5 4 2 3" xfId="11619" xr:uid="{DFEC46FE-8D38-4E60-BF23-FE7DA186115C}"/>
    <cellStyle name="Normal 5 5 4 3" xfId="5250" xr:uid="{00000000-0005-0000-0000-00008C1B0000}"/>
    <cellStyle name="Normal 5 5 4 3 2" xfId="13692" xr:uid="{3518BA12-47E1-4F0A-A0FE-1A88164983CB}"/>
    <cellStyle name="Normal 5 5 4 4" xfId="9474" xr:uid="{8E76BB4B-933D-4B26-86EB-6770BA4E8118}"/>
    <cellStyle name="Normal 5 5 5" xfId="1355" xr:uid="{00000000-0005-0000-0000-00008D1B0000}"/>
    <cellStyle name="Normal 5 5 5 2" xfId="3585" xr:uid="{00000000-0005-0000-0000-00008E1B0000}"/>
    <cellStyle name="Normal 5 5 5 2 2" xfId="7808" xr:uid="{00000000-0005-0000-0000-00008F1B0000}"/>
    <cellStyle name="Normal 5 5 5 2 2 2" xfId="16250" xr:uid="{D07A875D-2910-402A-8769-0EEA916CD4EA}"/>
    <cellStyle name="Normal 5 5 5 2 3" xfId="12032" xr:uid="{80D15C2D-14BF-42BB-8A3C-501A160AA3FD}"/>
    <cellStyle name="Normal 5 5 5 3" xfId="5663" xr:uid="{00000000-0005-0000-0000-0000901B0000}"/>
    <cellStyle name="Normal 5 5 5 3 2" xfId="14105" xr:uid="{69398078-1817-4714-849C-F77C32A9B737}"/>
    <cellStyle name="Normal 5 5 5 4" xfId="9887" xr:uid="{BDB332B6-3E0F-4E48-9DFD-B7C4D89C8CCA}"/>
    <cellStyle name="Normal 5 5 6" xfId="1768" xr:uid="{00000000-0005-0000-0000-0000911B0000}"/>
    <cellStyle name="Normal 5 5 6 2" xfId="3998" xr:uid="{00000000-0005-0000-0000-0000921B0000}"/>
    <cellStyle name="Normal 5 5 6 2 2" xfId="8221" xr:uid="{00000000-0005-0000-0000-0000931B0000}"/>
    <cellStyle name="Normal 5 5 6 2 2 2" xfId="16663" xr:uid="{C2698CC4-D8E1-4E36-91B5-2BE608B1E8A0}"/>
    <cellStyle name="Normal 5 5 6 2 3" xfId="12445" xr:uid="{D76B3930-F7EC-4C44-810D-0A82ADDD7FB5}"/>
    <cellStyle name="Normal 5 5 6 3" xfId="6076" xr:uid="{00000000-0005-0000-0000-0000941B0000}"/>
    <cellStyle name="Normal 5 5 6 3 2" xfId="14518" xr:uid="{F3A6171A-AC62-4237-AC11-0A8F4DC668B3}"/>
    <cellStyle name="Normal 5 5 6 4" xfId="10300" xr:uid="{78AC5C6F-E943-463A-B7F1-743424925FEE}"/>
    <cellStyle name="Normal 5 5 7" xfId="2182" xr:uid="{00000000-0005-0000-0000-0000951B0000}"/>
    <cellStyle name="Normal 5 5 7 2" xfId="4411" xr:uid="{00000000-0005-0000-0000-0000961B0000}"/>
    <cellStyle name="Normal 5 5 7 2 2" xfId="8634" xr:uid="{00000000-0005-0000-0000-0000971B0000}"/>
    <cellStyle name="Normal 5 5 7 2 2 2" xfId="17076" xr:uid="{9BA1F45A-E72A-41F3-BC29-CB302CEAD028}"/>
    <cellStyle name="Normal 5 5 7 2 3" xfId="12858" xr:uid="{29E97718-3826-4519-BF76-8470606D6ED7}"/>
    <cellStyle name="Normal 5 5 7 3" xfId="6489" xr:uid="{00000000-0005-0000-0000-0000981B0000}"/>
    <cellStyle name="Normal 5 5 7 3 2" xfId="14931" xr:uid="{4D99015F-A137-4604-A070-7BAE97A15F86}"/>
    <cellStyle name="Normal 5 5 7 4" xfId="10713" xr:uid="{AF1AAE93-00F0-4866-82A3-38E48A33AFE8}"/>
    <cellStyle name="Normal 5 5 8" xfId="2618" xr:uid="{00000000-0005-0000-0000-0000991B0000}"/>
    <cellStyle name="Normal 5 5 8 2" xfId="6902" xr:uid="{00000000-0005-0000-0000-00009A1B0000}"/>
    <cellStyle name="Normal 5 5 8 2 2" xfId="15344" xr:uid="{28FEF556-54FC-4692-9DF8-603887E5932F}"/>
    <cellStyle name="Normal 5 5 8 3" xfId="11126" xr:uid="{6C6E048F-58E9-412E-B32E-EA3AC9A4E82E}"/>
    <cellStyle name="Normal 5 5 9" xfId="4837" xr:uid="{00000000-0005-0000-0000-00009B1B0000}"/>
    <cellStyle name="Normal 5 5 9 2" xfId="13279" xr:uid="{3E188F50-36CB-44A7-A490-BA583987C75B}"/>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6FB5FE7E-D543-4DEC-A214-F3A7F49237CD}"/>
    <cellStyle name="Normal 5 6 2 2 2 3" xfId="11624" xr:uid="{17938758-A86F-4370-AC73-D1FC981B9189}"/>
    <cellStyle name="Normal 5 6 2 2 3" xfId="5255" xr:uid="{00000000-0005-0000-0000-0000A11B0000}"/>
    <cellStyle name="Normal 5 6 2 2 3 2" xfId="13697" xr:uid="{6DB6BB10-3408-4EE8-ADA8-37338B244BFD}"/>
    <cellStyle name="Normal 5 6 2 2 4" xfId="9479" xr:uid="{7E042247-36F8-491D-BEAB-1B4460B6FB6D}"/>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5CB48FAE-2296-48E9-ABB6-D910D23227A6}"/>
    <cellStyle name="Normal 5 6 2 3 2 3" xfId="12037" xr:uid="{10820C54-E344-4EBA-8623-DC9D8CC20095}"/>
    <cellStyle name="Normal 5 6 2 3 3" xfId="5668" xr:uid="{00000000-0005-0000-0000-0000A51B0000}"/>
    <cellStyle name="Normal 5 6 2 3 3 2" xfId="14110" xr:uid="{24AACB44-DA57-4490-A1AA-62EAF0271CC3}"/>
    <cellStyle name="Normal 5 6 2 3 4" xfId="9892" xr:uid="{FCAD7A38-2C8B-41BC-AF27-D6F8A8BA9D93}"/>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4361C4C4-6781-4A4C-BCEB-9687EAF6E96F}"/>
    <cellStyle name="Normal 5 6 2 4 2 3" xfId="12450" xr:uid="{0D365D6B-C8B8-4804-B89E-05A57BFEFCA0}"/>
    <cellStyle name="Normal 5 6 2 4 3" xfId="6081" xr:uid="{00000000-0005-0000-0000-0000A91B0000}"/>
    <cellStyle name="Normal 5 6 2 4 3 2" xfId="14523" xr:uid="{D2319E3D-F7F1-475E-9C42-0E4FA0CA0659}"/>
    <cellStyle name="Normal 5 6 2 4 4" xfId="10305" xr:uid="{04C84FDF-5D9A-48DF-8DDB-3A848F6C9D98}"/>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96D73513-BDF6-4BF9-9CF5-627547EC1C01}"/>
    <cellStyle name="Normal 5 6 2 5 2 3" xfId="12863" xr:uid="{47857B0C-B499-40AB-AE9E-57B53EFEB508}"/>
    <cellStyle name="Normal 5 6 2 5 3" xfId="6494" xr:uid="{00000000-0005-0000-0000-0000AD1B0000}"/>
    <cellStyle name="Normal 5 6 2 5 3 2" xfId="14936" xr:uid="{B8CB8995-5654-429C-B821-67777E6E0EE7}"/>
    <cellStyle name="Normal 5 6 2 5 4" xfId="10718" xr:uid="{D2DB78F2-E034-4F4B-9F49-D98FEF225913}"/>
    <cellStyle name="Normal 5 6 2 6" xfId="2623" xr:uid="{00000000-0005-0000-0000-0000AE1B0000}"/>
    <cellStyle name="Normal 5 6 2 6 2" xfId="6907" xr:uid="{00000000-0005-0000-0000-0000AF1B0000}"/>
    <cellStyle name="Normal 5 6 2 6 2 2" xfId="15349" xr:uid="{9776C536-67B5-4D1D-AC91-4EDCCC1EE266}"/>
    <cellStyle name="Normal 5 6 2 6 3" xfId="11131" xr:uid="{090ED21C-6831-42BB-BB70-30CDE2280D7D}"/>
    <cellStyle name="Normal 5 6 2 7" xfId="4842" xr:uid="{00000000-0005-0000-0000-0000B01B0000}"/>
    <cellStyle name="Normal 5 6 2 7 2" xfId="13284" xr:uid="{20602619-CD17-488D-AC8F-AE1F4F589821}"/>
    <cellStyle name="Normal 5 6 2 8" xfId="9066" xr:uid="{23E3F17E-4EE7-4C11-89A4-FB1A375AC75F}"/>
    <cellStyle name="Normal 5 6 3" xfId="942" xr:uid="{00000000-0005-0000-0000-0000B11B0000}"/>
    <cellStyle name="Normal 5 6 3 2" xfId="3176" xr:uid="{00000000-0005-0000-0000-0000B21B0000}"/>
    <cellStyle name="Normal 5 6 3 2 2" xfId="7399" xr:uid="{00000000-0005-0000-0000-0000B31B0000}"/>
    <cellStyle name="Normal 5 6 3 2 2 2" xfId="15841" xr:uid="{56D191C2-9481-4B6A-BF61-01D313AE1AC3}"/>
    <cellStyle name="Normal 5 6 3 2 3" xfId="11623" xr:uid="{645DD9A4-DEC3-4E95-B185-FD1B33723B63}"/>
    <cellStyle name="Normal 5 6 3 3" xfId="5254" xr:uid="{00000000-0005-0000-0000-0000B41B0000}"/>
    <cellStyle name="Normal 5 6 3 3 2" xfId="13696" xr:uid="{A9C5B279-0F3C-4407-A798-A652EA2DF495}"/>
    <cellStyle name="Normal 5 6 3 4" xfId="9478" xr:uid="{AB8F36CC-5DBE-4639-B34D-03981FFE480A}"/>
    <cellStyle name="Normal 5 6 4" xfId="1359" xr:uid="{00000000-0005-0000-0000-0000B51B0000}"/>
    <cellStyle name="Normal 5 6 4 2" xfId="3589" xr:uid="{00000000-0005-0000-0000-0000B61B0000}"/>
    <cellStyle name="Normal 5 6 4 2 2" xfId="7812" xr:uid="{00000000-0005-0000-0000-0000B71B0000}"/>
    <cellStyle name="Normal 5 6 4 2 2 2" xfId="16254" xr:uid="{74F6F6B9-B8D3-4B9A-9636-43A918915EC0}"/>
    <cellStyle name="Normal 5 6 4 2 3" xfId="12036" xr:uid="{8F8EAEA3-3752-4C08-BF50-C68813990880}"/>
    <cellStyle name="Normal 5 6 4 3" xfId="5667" xr:uid="{00000000-0005-0000-0000-0000B81B0000}"/>
    <cellStyle name="Normal 5 6 4 3 2" xfId="14109" xr:uid="{BB31566C-F8BE-4906-927A-C44C862EBB46}"/>
    <cellStyle name="Normal 5 6 4 4" xfId="9891" xr:uid="{1F378205-06CF-481A-920C-A3440627C9FE}"/>
    <cellStyle name="Normal 5 6 5" xfId="1772" xr:uid="{00000000-0005-0000-0000-0000B91B0000}"/>
    <cellStyle name="Normal 5 6 5 2" xfId="4002" xr:uid="{00000000-0005-0000-0000-0000BA1B0000}"/>
    <cellStyle name="Normal 5 6 5 2 2" xfId="8225" xr:uid="{00000000-0005-0000-0000-0000BB1B0000}"/>
    <cellStyle name="Normal 5 6 5 2 2 2" xfId="16667" xr:uid="{2751FD94-A2FB-49A5-90F2-EA62843AEE3F}"/>
    <cellStyle name="Normal 5 6 5 2 3" xfId="12449" xr:uid="{2F8E350E-D9B5-4655-A1E5-F4AE50E4EA9C}"/>
    <cellStyle name="Normal 5 6 5 3" xfId="6080" xr:uid="{00000000-0005-0000-0000-0000BC1B0000}"/>
    <cellStyle name="Normal 5 6 5 3 2" xfId="14522" xr:uid="{1929F6A5-6DC1-421B-8295-BF25A1553490}"/>
    <cellStyle name="Normal 5 6 5 4" xfId="10304" xr:uid="{CFEFF9EF-B05A-463E-955F-6CCD430FF65D}"/>
    <cellStyle name="Normal 5 6 6" xfId="2186" xr:uid="{00000000-0005-0000-0000-0000BD1B0000}"/>
    <cellStyle name="Normal 5 6 6 2" xfId="4415" xr:uid="{00000000-0005-0000-0000-0000BE1B0000}"/>
    <cellStyle name="Normal 5 6 6 2 2" xfId="8638" xr:uid="{00000000-0005-0000-0000-0000BF1B0000}"/>
    <cellStyle name="Normal 5 6 6 2 2 2" xfId="17080" xr:uid="{165ABAAB-E745-47FF-A95B-F52413E7941B}"/>
    <cellStyle name="Normal 5 6 6 2 3" xfId="12862" xr:uid="{442AE3BD-F482-4A32-8104-F3D3BEC6DBF5}"/>
    <cellStyle name="Normal 5 6 6 3" xfId="6493" xr:uid="{00000000-0005-0000-0000-0000C01B0000}"/>
    <cellStyle name="Normal 5 6 6 3 2" xfId="14935" xr:uid="{CED2A71C-1056-403D-8824-13285C96D105}"/>
    <cellStyle name="Normal 5 6 6 4" xfId="10717" xr:uid="{C166A992-A0A3-408A-B3A6-889D6098DE12}"/>
    <cellStyle name="Normal 5 6 7" xfId="2622" xr:uid="{00000000-0005-0000-0000-0000C11B0000}"/>
    <cellStyle name="Normal 5 6 7 2" xfId="6906" xr:uid="{00000000-0005-0000-0000-0000C21B0000}"/>
    <cellStyle name="Normal 5 6 7 2 2" xfId="15348" xr:uid="{234018F4-5D91-4535-A7FB-05C35260E645}"/>
    <cellStyle name="Normal 5 6 7 3" xfId="11130" xr:uid="{64810EC2-A619-4450-AF3B-EB5CC572BE01}"/>
    <cellStyle name="Normal 5 6 8" xfId="4841" xr:uid="{00000000-0005-0000-0000-0000C31B0000}"/>
    <cellStyle name="Normal 5 6 8 2" xfId="13283" xr:uid="{C156ABC7-B45E-4621-ABB9-2C00880D470A}"/>
    <cellStyle name="Normal 5 6 9" xfId="9065" xr:uid="{193A4D35-ADD7-4210-B790-26B4B216BB1B}"/>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A5CA82ED-C99E-4CED-B3F2-AFBC99AD3186}"/>
    <cellStyle name="Normal 5 7 2 2 3" xfId="11625" xr:uid="{653BAACF-DADB-4D28-9971-E53ED59EDBF4}"/>
    <cellStyle name="Normal 5 7 2 3" xfId="5256" xr:uid="{00000000-0005-0000-0000-0000C81B0000}"/>
    <cellStyle name="Normal 5 7 2 3 2" xfId="13698" xr:uid="{21A3FC22-F072-4034-BCA0-E4A0E0D3FD37}"/>
    <cellStyle name="Normal 5 7 2 4" xfId="9480" xr:uid="{5CFE6D88-3CF2-4507-8B9C-6398561F6679}"/>
    <cellStyle name="Normal 5 7 3" xfId="1361" xr:uid="{00000000-0005-0000-0000-0000C91B0000}"/>
    <cellStyle name="Normal 5 7 3 2" xfId="3591" xr:uid="{00000000-0005-0000-0000-0000CA1B0000}"/>
    <cellStyle name="Normal 5 7 3 2 2" xfId="7814" xr:uid="{00000000-0005-0000-0000-0000CB1B0000}"/>
    <cellStyle name="Normal 5 7 3 2 2 2" xfId="16256" xr:uid="{E6A19BE6-38F5-4465-9F0F-F0E82361854E}"/>
    <cellStyle name="Normal 5 7 3 2 3" xfId="12038" xr:uid="{7194F89D-F923-4B60-B482-D3D8F6B4DEF9}"/>
    <cellStyle name="Normal 5 7 3 3" xfId="5669" xr:uid="{00000000-0005-0000-0000-0000CC1B0000}"/>
    <cellStyle name="Normal 5 7 3 3 2" xfId="14111" xr:uid="{650D14F1-BAEB-4AA5-B47B-DF5147FB4944}"/>
    <cellStyle name="Normal 5 7 3 4" xfId="9893" xr:uid="{24589C01-A8F4-4D97-ADDA-C1C4DA537228}"/>
    <cellStyle name="Normal 5 7 4" xfId="1774" xr:uid="{00000000-0005-0000-0000-0000CD1B0000}"/>
    <cellStyle name="Normal 5 7 4 2" xfId="4004" xr:uid="{00000000-0005-0000-0000-0000CE1B0000}"/>
    <cellStyle name="Normal 5 7 4 2 2" xfId="8227" xr:uid="{00000000-0005-0000-0000-0000CF1B0000}"/>
    <cellStyle name="Normal 5 7 4 2 2 2" xfId="16669" xr:uid="{273F7530-0B65-4165-BDB0-9481F7608B39}"/>
    <cellStyle name="Normal 5 7 4 2 3" xfId="12451" xr:uid="{F2806F42-82D0-4FD3-9228-2EA2BC7A72AD}"/>
    <cellStyle name="Normal 5 7 4 3" xfId="6082" xr:uid="{00000000-0005-0000-0000-0000D01B0000}"/>
    <cellStyle name="Normal 5 7 4 3 2" xfId="14524" xr:uid="{8CF77E37-A786-4BF8-BFFB-8FE83DABDD9E}"/>
    <cellStyle name="Normal 5 7 4 4" xfId="10306" xr:uid="{018ED911-0FE0-4545-8E02-FA0E2B3400EC}"/>
    <cellStyle name="Normal 5 7 5" xfId="2188" xr:uid="{00000000-0005-0000-0000-0000D11B0000}"/>
    <cellStyle name="Normal 5 7 5 2" xfId="4417" xr:uid="{00000000-0005-0000-0000-0000D21B0000}"/>
    <cellStyle name="Normal 5 7 5 2 2" xfId="8640" xr:uid="{00000000-0005-0000-0000-0000D31B0000}"/>
    <cellStyle name="Normal 5 7 5 2 2 2" xfId="17082" xr:uid="{37AA032C-02B2-415F-94A4-4337FFC05D54}"/>
    <cellStyle name="Normal 5 7 5 2 3" xfId="12864" xr:uid="{989F67F8-0AAB-4487-AF25-6F55DCB24A8D}"/>
    <cellStyle name="Normal 5 7 5 3" xfId="6495" xr:uid="{00000000-0005-0000-0000-0000D41B0000}"/>
    <cellStyle name="Normal 5 7 5 3 2" xfId="14937" xr:uid="{9EF21A82-7A09-43AB-8790-D2239A7D49F9}"/>
    <cellStyle name="Normal 5 7 5 4" xfId="10719" xr:uid="{4AA4BDC4-6ACF-4833-87E1-7FC736546449}"/>
    <cellStyle name="Normal 5 7 6" xfId="2624" xr:uid="{00000000-0005-0000-0000-0000D51B0000}"/>
    <cellStyle name="Normal 5 7 6 2" xfId="6908" xr:uid="{00000000-0005-0000-0000-0000D61B0000}"/>
    <cellStyle name="Normal 5 7 6 2 2" xfId="15350" xr:uid="{F217B365-914B-41BF-A34B-1C69F347857F}"/>
    <cellStyle name="Normal 5 7 6 3" xfId="11132" xr:uid="{E29F1D53-738A-41CE-A53E-33C78CE5A97E}"/>
    <cellStyle name="Normal 5 7 7" xfId="4843" xr:uid="{00000000-0005-0000-0000-0000D71B0000}"/>
    <cellStyle name="Normal 5 7 7 2" xfId="13285" xr:uid="{40C49DF2-9BC1-4311-AF79-EF71045CDCED}"/>
    <cellStyle name="Normal 5 7 8" xfId="9067" xr:uid="{D2575A74-2F68-4404-B848-B31063356D26}"/>
    <cellStyle name="Normal 5 8" xfId="880" xr:uid="{00000000-0005-0000-0000-0000D81B0000}"/>
    <cellStyle name="Normal 5 8 2" xfId="3115" xr:uid="{00000000-0005-0000-0000-0000D91B0000}"/>
    <cellStyle name="Normal 5 8 2 2" xfId="7338" xr:uid="{00000000-0005-0000-0000-0000DA1B0000}"/>
    <cellStyle name="Normal 5 8 2 2 2" xfId="15780" xr:uid="{C6734858-9D34-403D-9AAC-604881EBE241}"/>
    <cellStyle name="Normal 5 8 2 3" xfId="11562" xr:uid="{E37DDAE6-95C8-4EF7-9808-FF7E97A6FF01}"/>
    <cellStyle name="Normal 5 8 3" xfId="5193" xr:uid="{00000000-0005-0000-0000-0000DB1B0000}"/>
    <cellStyle name="Normal 5 8 3 2" xfId="13635" xr:uid="{B8ED29A9-B397-45B5-9391-3726DB80D1AE}"/>
    <cellStyle name="Normal 5 8 4" xfId="9417" xr:uid="{CC09D827-784D-42B8-91DD-9088EE988614}"/>
    <cellStyle name="Normal 5 9" xfId="1298" xr:uid="{00000000-0005-0000-0000-0000DC1B0000}"/>
    <cellStyle name="Normal 5 9 2" xfId="3528" xr:uid="{00000000-0005-0000-0000-0000DD1B0000}"/>
    <cellStyle name="Normal 5 9 2 2" xfId="7751" xr:uid="{00000000-0005-0000-0000-0000DE1B0000}"/>
    <cellStyle name="Normal 5 9 2 2 2" xfId="16193" xr:uid="{720B60B8-F19C-4934-9FFB-C17644275D25}"/>
    <cellStyle name="Normal 5 9 2 3" xfId="11975" xr:uid="{11157C76-07D8-44A2-B208-B9DC6512126C}"/>
    <cellStyle name="Normal 5 9 3" xfId="5606" xr:uid="{00000000-0005-0000-0000-0000DF1B0000}"/>
    <cellStyle name="Normal 5 9 3 2" xfId="14048" xr:uid="{DF399978-14DE-4975-A60A-A1A973F3EBCB}"/>
    <cellStyle name="Normal 5 9 4" xfId="9830" xr:uid="{342B6492-50A4-463C-94D0-18FC47DD780C}"/>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B975C5CC-6E99-4D6A-8C27-03AD20D86FAE}"/>
    <cellStyle name="Normal 8 10 2 3" xfId="12865" xr:uid="{C66A8B90-C746-4BD4-B6C5-27FB1DDC64E4}"/>
    <cellStyle name="Normal 8 10 3" xfId="6496" xr:uid="{00000000-0005-0000-0000-0000EB1B0000}"/>
    <cellStyle name="Normal 8 10 3 2" xfId="14938" xr:uid="{F8A2CE50-24E3-4BA4-84E5-5C39F0FC1EA0}"/>
    <cellStyle name="Normal 8 10 4" xfId="10720" xr:uid="{88E1A0B1-AD8A-495C-83AC-AA53F5CE5C7D}"/>
    <cellStyle name="Normal 8 11" xfId="2625" xr:uid="{00000000-0005-0000-0000-0000EC1B0000}"/>
    <cellStyle name="Normal 8 11 2" xfId="6909" xr:uid="{00000000-0005-0000-0000-0000ED1B0000}"/>
    <cellStyle name="Normal 8 11 2 2" xfId="15351" xr:uid="{B3BFCAF0-26CF-499C-B770-102FCC68CDCD}"/>
    <cellStyle name="Normal 8 11 3" xfId="11133" xr:uid="{EB50C0EE-59F8-4B5D-835E-FC614FBB596C}"/>
    <cellStyle name="Normal 8 12" xfId="4844" xr:uid="{00000000-0005-0000-0000-0000EE1B0000}"/>
    <cellStyle name="Normal 8 12 2" xfId="13286" xr:uid="{6E40C29D-3F50-4B98-9697-1558AA274219}"/>
    <cellStyle name="Normal 8 13" xfId="9068" xr:uid="{1157116A-0403-47D7-B975-B519D32455D7}"/>
    <cellStyle name="Normal 8 2" xfId="479" xr:uid="{00000000-0005-0000-0000-0000EF1B0000}"/>
    <cellStyle name="Normal 8 2 10" xfId="2626" xr:uid="{00000000-0005-0000-0000-0000F01B0000}"/>
    <cellStyle name="Normal 8 2 10 2" xfId="6910" xr:uid="{00000000-0005-0000-0000-0000F11B0000}"/>
    <cellStyle name="Normal 8 2 10 2 2" xfId="15352" xr:uid="{42E283CA-652C-40DB-A047-17AB31931B52}"/>
    <cellStyle name="Normal 8 2 10 3" xfId="11134" xr:uid="{37ACFA5B-69DD-40A5-8154-45844AAF8D52}"/>
    <cellStyle name="Normal 8 2 11" xfId="4845" xr:uid="{00000000-0005-0000-0000-0000F21B0000}"/>
    <cellStyle name="Normal 8 2 11 2" xfId="13287" xr:uid="{BBCACC8F-CF1E-4EB2-9EE7-8F16D23E7D77}"/>
    <cellStyle name="Normal 8 2 12" xfId="9069" xr:uid="{023F68F3-1B45-45D8-ADD5-1A4BD90EE9A4}"/>
    <cellStyle name="Normal 8 2 2" xfId="480" xr:uid="{00000000-0005-0000-0000-0000F31B0000}"/>
    <cellStyle name="Normal 8 2 2 10" xfId="4846" xr:uid="{00000000-0005-0000-0000-0000F41B0000}"/>
    <cellStyle name="Normal 8 2 2 10 2" xfId="13288" xr:uid="{3510E245-77FA-403F-9FE9-ED9684C4F98E}"/>
    <cellStyle name="Normal 8 2 2 11" xfId="9070" xr:uid="{16A27968-96B0-4BE7-B03D-8223223C3AF1}"/>
    <cellStyle name="Normal 8 2 2 2" xfId="481" xr:uid="{00000000-0005-0000-0000-0000F51B0000}"/>
    <cellStyle name="Normal 8 2 2 2 10" xfId="9071" xr:uid="{30FD19D0-DDBA-44C6-A32E-09E64868C7DE}"/>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86145F51-5E78-4595-85C0-0690CF17ACC7}"/>
    <cellStyle name="Normal 8 2 2 2 2 2 2 2 3" xfId="11631" xr:uid="{479379E6-703F-47E3-818B-8458131BA907}"/>
    <cellStyle name="Normal 8 2 2 2 2 2 2 3" xfId="5262" xr:uid="{00000000-0005-0000-0000-0000FB1B0000}"/>
    <cellStyle name="Normal 8 2 2 2 2 2 2 3 2" xfId="13704" xr:uid="{2FBD3665-3106-4DB7-AA52-461A0BCCA686}"/>
    <cellStyle name="Normal 8 2 2 2 2 2 2 4" xfId="9486" xr:uid="{8C81FFA3-F3B9-4CCA-8D6C-CF43016FC91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268CE6E8-F3FE-49C6-B494-DFE35327CC0E}"/>
    <cellStyle name="Normal 8 2 2 2 2 2 3 2 3" xfId="12044" xr:uid="{1BFB34D7-2D48-4964-ACF1-28D20D03F4E9}"/>
    <cellStyle name="Normal 8 2 2 2 2 2 3 3" xfId="5675" xr:uid="{00000000-0005-0000-0000-0000FF1B0000}"/>
    <cellStyle name="Normal 8 2 2 2 2 2 3 3 2" xfId="14117" xr:uid="{FE471074-6473-474C-B2FA-645EE6FF6BA7}"/>
    <cellStyle name="Normal 8 2 2 2 2 2 3 4" xfId="9899" xr:uid="{F22615A5-780B-41B7-9C19-70C6FF0BE45B}"/>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481D7442-30A5-41F6-9E69-BD7D540C1C16}"/>
    <cellStyle name="Normal 8 2 2 2 2 2 4 2 3" xfId="12457" xr:uid="{3FF440ED-14CA-45D3-8460-02C34470FFD8}"/>
    <cellStyle name="Normal 8 2 2 2 2 2 4 3" xfId="6088" xr:uid="{00000000-0005-0000-0000-0000031C0000}"/>
    <cellStyle name="Normal 8 2 2 2 2 2 4 3 2" xfId="14530" xr:uid="{F17A45C7-338D-475B-A4B6-5C85CA51C6D9}"/>
    <cellStyle name="Normal 8 2 2 2 2 2 4 4" xfId="10312" xr:uid="{5CA11587-898B-44B5-B7CD-5FF7ABEF206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61F5C38D-AB6E-420C-AE1C-99B919DE8E8F}"/>
    <cellStyle name="Normal 8 2 2 2 2 2 5 2 3" xfId="12870" xr:uid="{C9DFFC7D-7229-4A7E-8AEE-76C40EA3674F}"/>
    <cellStyle name="Normal 8 2 2 2 2 2 5 3" xfId="6501" xr:uid="{00000000-0005-0000-0000-0000071C0000}"/>
    <cellStyle name="Normal 8 2 2 2 2 2 5 3 2" xfId="14943" xr:uid="{5BDB195A-C0EC-4680-974D-727E38F89048}"/>
    <cellStyle name="Normal 8 2 2 2 2 2 5 4" xfId="10725" xr:uid="{9185D2DF-62B8-4A9D-A6B8-D6F881135601}"/>
    <cellStyle name="Normal 8 2 2 2 2 2 6" xfId="2630" xr:uid="{00000000-0005-0000-0000-0000081C0000}"/>
    <cellStyle name="Normal 8 2 2 2 2 2 6 2" xfId="6914" xr:uid="{00000000-0005-0000-0000-0000091C0000}"/>
    <cellStyle name="Normal 8 2 2 2 2 2 6 2 2" xfId="15356" xr:uid="{E7CDF2F4-CEC3-4718-8F18-16922EA81BD9}"/>
    <cellStyle name="Normal 8 2 2 2 2 2 6 3" xfId="11138" xr:uid="{EEF5795F-48EB-4FE6-9256-D963F3372A31}"/>
    <cellStyle name="Normal 8 2 2 2 2 2 7" xfId="4849" xr:uid="{00000000-0005-0000-0000-00000A1C0000}"/>
    <cellStyle name="Normal 8 2 2 2 2 2 7 2" xfId="13291" xr:uid="{72875C09-2FE8-430B-A12F-5DAA327938FD}"/>
    <cellStyle name="Normal 8 2 2 2 2 2 8" xfId="9073" xr:uid="{BD8F841B-BF47-4312-9727-A94D1B97DF6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EC1DC83C-3708-4CAF-90EB-A50B893EA699}"/>
    <cellStyle name="Normal 8 2 2 2 2 3 2 3" xfId="11630" xr:uid="{ED43B726-519E-408F-B63D-E4DC931E7E01}"/>
    <cellStyle name="Normal 8 2 2 2 2 3 3" xfId="5261" xr:uid="{00000000-0005-0000-0000-00000E1C0000}"/>
    <cellStyle name="Normal 8 2 2 2 2 3 3 2" xfId="13703" xr:uid="{2F4C2D8A-1D58-4F48-8ACB-A76DAE711CAA}"/>
    <cellStyle name="Normal 8 2 2 2 2 3 4" xfId="9485" xr:uid="{4A200DEB-FAAA-4B3C-9E04-15E9F54DB8FC}"/>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7A6227C3-BE98-4F26-9E8E-D5042CB97419}"/>
    <cellStyle name="Normal 8 2 2 2 2 4 2 3" xfId="12043" xr:uid="{B3B58A94-5B02-49BF-AC7F-1D2E7E108CED}"/>
    <cellStyle name="Normal 8 2 2 2 2 4 3" xfId="5674" xr:uid="{00000000-0005-0000-0000-0000121C0000}"/>
    <cellStyle name="Normal 8 2 2 2 2 4 3 2" xfId="14116" xr:uid="{D48CB099-4053-4E90-A951-A94B97E41D6E}"/>
    <cellStyle name="Normal 8 2 2 2 2 4 4" xfId="9898" xr:uid="{4C9FDC00-F8CB-428A-9275-5F6156B5ADF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A2566891-2D55-479C-A303-084A1C3DAA89}"/>
    <cellStyle name="Normal 8 2 2 2 2 5 2 3" xfId="12456" xr:uid="{07F36DC8-95E7-43B5-AFD3-25D6EAD5555B}"/>
    <cellStyle name="Normal 8 2 2 2 2 5 3" xfId="6087" xr:uid="{00000000-0005-0000-0000-0000161C0000}"/>
    <cellStyle name="Normal 8 2 2 2 2 5 3 2" xfId="14529" xr:uid="{5C9C24E6-6AD2-4EDF-B580-B101D6464D2F}"/>
    <cellStyle name="Normal 8 2 2 2 2 5 4" xfId="10311" xr:uid="{B7DE1593-E07A-41BE-8A36-2DD74228075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BA881EDA-3F92-4BFB-AE49-8043C4E8505B}"/>
    <cellStyle name="Normal 8 2 2 2 2 6 2 3" xfId="12869" xr:uid="{5C21515D-282D-4E49-AA36-4A33528E3F14}"/>
    <cellStyle name="Normal 8 2 2 2 2 6 3" xfId="6500" xr:uid="{00000000-0005-0000-0000-00001A1C0000}"/>
    <cellStyle name="Normal 8 2 2 2 2 6 3 2" xfId="14942" xr:uid="{26F20A45-5C17-418B-8A72-59AA28491D9F}"/>
    <cellStyle name="Normal 8 2 2 2 2 6 4" xfId="10724" xr:uid="{2C316D82-675A-4DFD-8CA2-44CDB9FEF33B}"/>
    <cellStyle name="Normal 8 2 2 2 2 7" xfId="2629" xr:uid="{00000000-0005-0000-0000-00001B1C0000}"/>
    <cellStyle name="Normal 8 2 2 2 2 7 2" xfId="6913" xr:uid="{00000000-0005-0000-0000-00001C1C0000}"/>
    <cellStyle name="Normal 8 2 2 2 2 7 2 2" xfId="15355" xr:uid="{4178085F-9E01-4974-A23B-A0805D2F9329}"/>
    <cellStyle name="Normal 8 2 2 2 2 7 3" xfId="11137" xr:uid="{40F4EE99-629A-4DCC-B485-88ECEADE19B5}"/>
    <cellStyle name="Normal 8 2 2 2 2 8" xfId="4848" xr:uid="{00000000-0005-0000-0000-00001D1C0000}"/>
    <cellStyle name="Normal 8 2 2 2 2 8 2" xfId="13290" xr:uid="{F2D050F0-E45A-4F01-B768-8F6D3508F868}"/>
    <cellStyle name="Normal 8 2 2 2 2 9" xfId="9072" xr:uid="{FB6CA320-42B9-46EE-B483-7F0EC3F8C71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50280BC3-8657-44BF-BF18-99D5FDF007F7}"/>
    <cellStyle name="Normal 8 2 2 2 3 2 2 3" xfId="11632" xr:uid="{46571339-A78A-4654-B6D9-ABEBB79DFCAE}"/>
    <cellStyle name="Normal 8 2 2 2 3 2 3" xfId="5263" xr:uid="{00000000-0005-0000-0000-0000221C0000}"/>
    <cellStyle name="Normal 8 2 2 2 3 2 3 2" xfId="13705" xr:uid="{ACA9D81C-30E0-411A-A1B6-6C7D27CAA115}"/>
    <cellStyle name="Normal 8 2 2 2 3 2 4" xfId="9487" xr:uid="{3A3FE17F-9477-43C4-B422-38AAA791512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5851B18D-E01C-47E7-AA07-0BEFD8AEC88C}"/>
    <cellStyle name="Normal 8 2 2 2 3 3 2 3" xfId="12045" xr:uid="{96CA3404-AFA2-4FB8-9FD0-09EE02C4EFFF}"/>
    <cellStyle name="Normal 8 2 2 2 3 3 3" xfId="5676" xr:uid="{00000000-0005-0000-0000-0000261C0000}"/>
    <cellStyle name="Normal 8 2 2 2 3 3 3 2" xfId="14118" xr:uid="{5CF2B9CF-6647-4FB1-9046-B81DFF8C7ED4}"/>
    <cellStyle name="Normal 8 2 2 2 3 3 4" xfId="9900" xr:uid="{7EB71396-45A1-4CEA-AB3B-1EB525F64DB6}"/>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A2ABAA93-209E-4423-8E18-F3B96F1651EA}"/>
    <cellStyle name="Normal 8 2 2 2 3 4 2 3" xfId="12458" xr:uid="{80577E8F-F2A9-4882-90C3-F60E92149C7B}"/>
    <cellStyle name="Normal 8 2 2 2 3 4 3" xfId="6089" xr:uid="{00000000-0005-0000-0000-00002A1C0000}"/>
    <cellStyle name="Normal 8 2 2 2 3 4 3 2" xfId="14531" xr:uid="{5A75201A-229E-4D13-8C5E-F6FEB6E1BE91}"/>
    <cellStyle name="Normal 8 2 2 2 3 4 4" xfId="10313" xr:uid="{EBF1645F-F655-40E4-A195-5EFBDBDDD07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1585AF62-85B9-4C47-B090-C2609C39E354}"/>
    <cellStyle name="Normal 8 2 2 2 3 5 2 3" xfId="12871" xr:uid="{E8103912-C522-40B3-81D2-F60370836C15}"/>
    <cellStyle name="Normal 8 2 2 2 3 5 3" xfId="6502" xr:uid="{00000000-0005-0000-0000-00002E1C0000}"/>
    <cellStyle name="Normal 8 2 2 2 3 5 3 2" xfId="14944" xr:uid="{66097949-2816-4190-8A7D-503C4C86571C}"/>
    <cellStyle name="Normal 8 2 2 2 3 5 4" xfId="10726" xr:uid="{AAE349B2-6017-4382-914B-10CD98FF44A2}"/>
    <cellStyle name="Normal 8 2 2 2 3 6" xfId="2631" xr:uid="{00000000-0005-0000-0000-00002F1C0000}"/>
    <cellStyle name="Normal 8 2 2 2 3 6 2" xfId="6915" xr:uid="{00000000-0005-0000-0000-0000301C0000}"/>
    <cellStyle name="Normal 8 2 2 2 3 6 2 2" xfId="15357" xr:uid="{C8834B20-EAC0-4373-93CB-92756DDD8ECC}"/>
    <cellStyle name="Normal 8 2 2 2 3 6 3" xfId="11139" xr:uid="{74AC8B43-B7FA-48C2-8FDC-1754E66B0393}"/>
    <cellStyle name="Normal 8 2 2 2 3 7" xfId="4850" xr:uid="{00000000-0005-0000-0000-0000311C0000}"/>
    <cellStyle name="Normal 8 2 2 2 3 7 2" xfId="13292" xr:uid="{AA242275-2020-48ED-9846-5FFD448265C1}"/>
    <cellStyle name="Normal 8 2 2 2 3 8" xfId="9074" xr:uid="{A49ACD4F-6CE4-4B2A-AFA8-36BE3AA12C7E}"/>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BF61AA08-1C03-4EA8-A438-F9541F6C05CF}"/>
    <cellStyle name="Normal 8 2 2 2 4 2 3" xfId="11629" xr:uid="{B074E990-FAFB-44AB-95D8-EE1977EA5323}"/>
    <cellStyle name="Normal 8 2 2 2 4 3" xfId="5260" xr:uid="{00000000-0005-0000-0000-0000351C0000}"/>
    <cellStyle name="Normal 8 2 2 2 4 3 2" xfId="13702" xr:uid="{E3D1E636-D714-4494-BC7E-8521A6AE0316}"/>
    <cellStyle name="Normal 8 2 2 2 4 4" xfId="9484" xr:uid="{AEE1A525-5459-4A60-92D1-13981728C0DD}"/>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F9D29190-CF2A-4660-8647-DF7BA126B011}"/>
    <cellStyle name="Normal 8 2 2 2 5 2 3" xfId="12042" xr:uid="{7E74AC5B-CAAC-4900-B64D-693312DA46CA}"/>
    <cellStyle name="Normal 8 2 2 2 5 3" xfId="5673" xr:uid="{00000000-0005-0000-0000-0000391C0000}"/>
    <cellStyle name="Normal 8 2 2 2 5 3 2" xfId="14115" xr:uid="{B5D82F55-429D-435B-9457-42BC6607EFC5}"/>
    <cellStyle name="Normal 8 2 2 2 5 4" xfId="9897" xr:uid="{482568B6-7425-43F3-A559-DAF9E7FEF5E1}"/>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112C81FC-37D7-44AA-8C22-D4B17F8AE188}"/>
    <cellStyle name="Normal 8 2 2 2 6 2 3" xfId="12455" xr:uid="{7056E538-9BFE-4FC0-848D-66E7CEFA54A1}"/>
    <cellStyle name="Normal 8 2 2 2 6 3" xfId="6086" xr:uid="{00000000-0005-0000-0000-00003D1C0000}"/>
    <cellStyle name="Normal 8 2 2 2 6 3 2" xfId="14528" xr:uid="{C4342540-4A0B-4EC8-941F-22B9BDFCBBFB}"/>
    <cellStyle name="Normal 8 2 2 2 6 4" xfId="10310" xr:uid="{C946CE53-7135-4243-A8D8-72AE51349933}"/>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2B17BD47-7CA2-48CA-AD13-005218E3C2C5}"/>
    <cellStyle name="Normal 8 2 2 2 7 2 3" xfId="12868" xr:uid="{9607B8CB-27B5-4899-AB64-1BC20E460870}"/>
    <cellStyle name="Normal 8 2 2 2 7 3" xfId="6499" xr:uid="{00000000-0005-0000-0000-0000411C0000}"/>
    <cellStyle name="Normal 8 2 2 2 7 3 2" xfId="14941" xr:uid="{8D6A9D6B-B38D-4D6E-8D59-DC41C0413087}"/>
    <cellStyle name="Normal 8 2 2 2 7 4" xfId="10723" xr:uid="{3B2039C7-DEBA-4127-96FB-F94FCDDB1D8D}"/>
    <cellStyle name="Normal 8 2 2 2 8" xfId="2628" xr:uid="{00000000-0005-0000-0000-0000421C0000}"/>
    <cellStyle name="Normal 8 2 2 2 8 2" xfId="6912" xr:uid="{00000000-0005-0000-0000-0000431C0000}"/>
    <cellStyle name="Normal 8 2 2 2 8 2 2" xfId="15354" xr:uid="{5F739034-2EB9-41B3-94AD-2484CDC072FF}"/>
    <cellStyle name="Normal 8 2 2 2 8 3" xfId="11136" xr:uid="{D5322395-E20B-4A39-94B0-B5363FDE85C2}"/>
    <cellStyle name="Normal 8 2 2 2 9" xfId="4847" xr:uid="{00000000-0005-0000-0000-0000441C0000}"/>
    <cellStyle name="Normal 8 2 2 2 9 2" xfId="13289" xr:uid="{E2D8227C-9905-458C-878B-824693420558}"/>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0EE4C87A-F1A9-4AD6-B616-7BDED96F3E37}"/>
    <cellStyle name="Normal 8 2 2 3 2 2 2 3" xfId="11634" xr:uid="{AAFCCE37-F7CC-465D-AE3F-F5B49F6D1CC3}"/>
    <cellStyle name="Normal 8 2 2 3 2 2 3" xfId="5265" xr:uid="{00000000-0005-0000-0000-00004A1C0000}"/>
    <cellStyle name="Normal 8 2 2 3 2 2 3 2" xfId="13707" xr:uid="{7CC2138A-C039-479F-8F82-A2EEF0AD0AB7}"/>
    <cellStyle name="Normal 8 2 2 3 2 2 4" xfId="9489" xr:uid="{F21D8DBC-6A8B-4324-8308-5696E45CD384}"/>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E03BBC5D-A8B4-42F0-A1F0-F005629C88F3}"/>
    <cellStyle name="Normal 8 2 2 3 2 3 2 3" xfId="12047" xr:uid="{AEC70E73-39F0-4F04-B93E-6F54545EDD5D}"/>
    <cellStyle name="Normal 8 2 2 3 2 3 3" xfId="5678" xr:uid="{00000000-0005-0000-0000-00004E1C0000}"/>
    <cellStyle name="Normal 8 2 2 3 2 3 3 2" xfId="14120" xr:uid="{9A9B9C5B-C80F-499C-8825-DE19CCF19785}"/>
    <cellStyle name="Normal 8 2 2 3 2 3 4" xfId="9902" xr:uid="{BF22A94E-7C01-4EF1-A05A-5CCA2995B8DB}"/>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005B62B5-3C77-4DF6-864C-F1A9A48FDE10}"/>
    <cellStyle name="Normal 8 2 2 3 2 4 2 3" xfId="12460" xr:uid="{1D125E81-3693-4DE0-A2B3-369650DFD9D2}"/>
    <cellStyle name="Normal 8 2 2 3 2 4 3" xfId="6091" xr:uid="{00000000-0005-0000-0000-0000521C0000}"/>
    <cellStyle name="Normal 8 2 2 3 2 4 3 2" xfId="14533" xr:uid="{4FA9112B-0CE8-4468-9160-777B17ED2F70}"/>
    <cellStyle name="Normal 8 2 2 3 2 4 4" xfId="10315" xr:uid="{CD432FDF-0E88-41F6-91F8-1FDB8F562A68}"/>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4481904F-4018-4A56-9EC2-176AAFD87EE4}"/>
    <cellStyle name="Normal 8 2 2 3 2 5 2 3" xfId="12873" xr:uid="{820851F3-E8E7-4144-ADE0-493215E857FA}"/>
    <cellStyle name="Normal 8 2 2 3 2 5 3" xfId="6504" xr:uid="{00000000-0005-0000-0000-0000561C0000}"/>
    <cellStyle name="Normal 8 2 2 3 2 5 3 2" xfId="14946" xr:uid="{EE9D2E88-FB9E-47AC-B5C3-F0956A626B76}"/>
    <cellStyle name="Normal 8 2 2 3 2 5 4" xfId="10728" xr:uid="{182C379F-5DDA-4113-8743-48EBFCEFB767}"/>
    <cellStyle name="Normal 8 2 2 3 2 6" xfId="2633" xr:uid="{00000000-0005-0000-0000-0000571C0000}"/>
    <cellStyle name="Normal 8 2 2 3 2 6 2" xfId="6917" xr:uid="{00000000-0005-0000-0000-0000581C0000}"/>
    <cellStyle name="Normal 8 2 2 3 2 6 2 2" xfId="15359" xr:uid="{FA494D30-7CFF-44BA-8E55-62DFD3A91A96}"/>
    <cellStyle name="Normal 8 2 2 3 2 6 3" xfId="11141" xr:uid="{6ACA4F80-A485-494D-8344-00FE2BA174F1}"/>
    <cellStyle name="Normal 8 2 2 3 2 7" xfId="4852" xr:uid="{00000000-0005-0000-0000-0000591C0000}"/>
    <cellStyle name="Normal 8 2 2 3 2 7 2" xfId="13294" xr:uid="{525C091E-4695-43AC-AD8A-349475DBEF8C}"/>
    <cellStyle name="Normal 8 2 2 3 2 8" xfId="9076" xr:uid="{4B3E2F9E-C12E-40BC-B705-FCDFE81642CC}"/>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0845F37D-50A8-4DD2-BB84-2FDCBE6DCB6D}"/>
    <cellStyle name="Normal 8 2 2 3 3 2 3" xfId="11633" xr:uid="{B1C50C73-768E-465B-82D5-462DBEAEF3DB}"/>
    <cellStyle name="Normal 8 2 2 3 3 3" xfId="5264" xr:uid="{00000000-0005-0000-0000-00005D1C0000}"/>
    <cellStyle name="Normal 8 2 2 3 3 3 2" xfId="13706" xr:uid="{7C9DE172-3AC2-46A5-9F56-61BEB4E088D9}"/>
    <cellStyle name="Normal 8 2 2 3 3 4" xfId="9488" xr:uid="{D8221220-33FD-4F6A-8BF0-0295C2022ED6}"/>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E57F18BE-F012-4945-BB86-7275463CB84A}"/>
    <cellStyle name="Normal 8 2 2 3 4 2 3" xfId="12046" xr:uid="{9E95B5D4-5541-487E-9F54-62906AF81ED2}"/>
    <cellStyle name="Normal 8 2 2 3 4 3" xfId="5677" xr:uid="{00000000-0005-0000-0000-0000611C0000}"/>
    <cellStyle name="Normal 8 2 2 3 4 3 2" xfId="14119" xr:uid="{B0068962-E9D8-4BDE-81E5-5EBBCA7FAA88}"/>
    <cellStyle name="Normal 8 2 2 3 4 4" xfId="9901" xr:uid="{C1346131-0F81-4647-AFCF-7ABD5BB403DC}"/>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2EF094CB-9533-4167-ADA6-74F26D830036}"/>
    <cellStyle name="Normal 8 2 2 3 5 2 3" xfId="12459" xr:uid="{2FCD9EDA-41CA-484F-B4B1-D7D4F4999A03}"/>
    <cellStyle name="Normal 8 2 2 3 5 3" xfId="6090" xr:uid="{00000000-0005-0000-0000-0000651C0000}"/>
    <cellStyle name="Normal 8 2 2 3 5 3 2" xfId="14532" xr:uid="{632752E3-83F2-4812-9573-C6F634C62320}"/>
    <cellStyle name="Normal 8 2 2 3 5 4" xfId="10314" xr:uid="{198F020B-287C-4527-B7EB-789A47F6B68F}"/>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98872A4A-7360-4973-9D34-FBB2AF5C1BF6}"/>
    <cellStyle name="Normal 8 2 2 3 6 2 3" xfId="12872" xr:uid="{1C315ABC-8FD2-487F-9931-8933819F6CD1}"/>
    <cellStyle name="Normal 8 2 2 3 6 3" xfId="6503" xr:uid="{00000000-0005-0000-0000-0000691C0000}"/>
    <cellStyle name="Normal 8 2 2 3 6 3 2" xfId="14945" xr:uid="{DE3D7F75-F732-4272-B905-1919FAA1390C}"/>
    <cellStyle name="Normal 8 2 2 3 6 4" xfId="10727" xr:uid="{39894786-F487-4541-9E41-6F88A1B4DA1A}"/>
    <cellStyle name="Normal 8 2 2 3 7" xfId="2632" xr:uid="{00000000-0005-0000-0000-00006A1C0000}"/>
    <cellStyle name="Normal 8 2 2 3 7 2" xfId="6916" xr:uid="{00000000-0005-0000-0000-00006B1C0000}"/>
    <cellStyle name="Normal 8 2 2 3 7 2 2" xfId="15358" xr:uid="{AECC278D-EB6A-4D1D-81CF-2362704C7A50}"/>
    <cellStyle name="Normal 8 2 2 3 7 3" xfId="11140" xr:uid="{F9BDE357-44D8-400B-9447-C7D92BD6EF06}"/>
    <cellStyle name="Normal 8 2 2 3 8" xfId="4851" xr:uid="{00000000-0005-0000-0000-00006C1C0000}"/>
    <cellStyle name="Normal 8 2 2 3 8 2" xfId="13293" xr:uid="{FAC7213F-2100-40EC-98CF-12A111073DA0}"/>
    <cellStyle name="Normal 8 2 2 3 9" xfId="9075" xr:uid="{72FBBE94-4628-4914-BBCB-881D752A7B7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912CAB61-95DD-4CD4-AAB7-3B9038CAD5AB}"/>
    <cellStyle name="Normal 8 2 2 4 2 2 3" xfId="11635" xr:uid="{A786BC51-46C6-45FA-A171-D386E81E7D22}"/>
    <cellStyle name="Normal 8 2 2 4 2 3" xfId="5266" xr:uid="{00000000-0005-0000-0000-0000711C0000}"/>
    <cellStyle name="Normal 8 2 2 4 2 3 2" xfId="13708" xr:uid="{A4A45145-BB6E-40C8-A9AB-620606E8EC15}"/>
    <cellStyle name="Normal 8 2 2 4 2 4" xfId="9490" xr:uid="{315D4CCE-8241-4CD0-BA71-9549413F0D33}"/>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9D15DEEF-ED4A-49F7-A196-62C875F0A713}"/>
    <cellStyle name="Normal 8 2 2 4 3 2 3" xfId="12048" xr:uid="{535A97AC-6F6B-425E-95BD-B5C10264C6B2}"/>
    <cellStyle name="Normal 8 2 2 4 3 3" xfId="5679" xr:uid="{00000000-0005-0000-0000-0000751C0000}"/>
    <cellStyle name="Normal 8 2 2 4 3 3 2" xfId="14121" xr:uid="{1FA40190-EE2C-4797-80A8-424758B6191F}"/>
    <cellStyle name="Normal 8 2 2 4 3 4" xfId="9903" xr:uid="{4F73AD7D-3B8D-4892-9D55-59CF4B7EC52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E5DF58CC-EF89-434B-9283-CB6C8005697F}"/>
    <cellStyle name="Normal 8 2 2 4 4 2 3" xfId="12461" xr:uid="{F73B97F6-88EA-4975-851C-6E217AD80463}"/>
    <cellStyle name="Normal 8 2 2 4 4 3" xfId="6092" xr:uid="{00000000-0005-0000-0000-0000791C0000}"/>
    <cellStyle name="Normal 8 2 2 4 4 3 2" xfId="14534" xr:uid="{5E01CB0E-911A-41CC-89EF-2377158AD3C5}"/>
    <cellStyle name="Normal 8 2 2 4 4 4" xfId="10316" xr:uid="{251E7C8D-F0E8-4F70-9CE0-19B902B5F52C}"/>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45F1EB60-9718-40E2-B7EE-C474F7FDCFD6}"/>
    <cellStyle name="Normal 8 2 2 4 5 2 3" xfId="12874" xr:uid="{A05E5727-23DE-407F-9B9A-79D04BEADAC2}"/>
    <cellStyle name="Normal 8 2 2 4 5 3" xfId="6505" xr:uid="{00000000-0005-0000-0000-00007D1C0000}"/>
    <cellStyle name="Normal 8 2 2 4 5 3 2" xfId="14947" xr:uid="{D0032D86-7FF2-433A-AE64-2626A8BA5A7C}"/>
    <cellStyle name="Normal 8 2 2 4 5 4" xfId="10729" xr:uid="{0E891D4B-49C6-4031-8B1C-5DDE92B32379}"/>
    <cellStyle name="Normal 8 2 2 4 6" xfId="2634" xr:uid="{00000000-0005-0000-0000-00007E1C0000}"/>
    <cellStyle name="Normal 8 2 2 4 6 2" xfId="6918" xr:uid="{00000000-0005-0000-0000-00007F1C0000}"/>
    <cellStyle name="Normal 8 2 2 4 6 2 2" xfId="15360" xr:uid="{629830D9-7893-4E27-857E-388F10BA75C2}"/>
    <cellStyle name="Normal 8 2 2 4 6 3" xfId="11142" xr:uid="{1A035149-C3D2-417A-8E4C-FA540E426894}"/>
    <cellStyle name="Normal 8 2 2 4 7" xfId="4853" xr:uid="{00000000-0005-0000-0000-0000801C0000}"/>
    <cellStyle name="Normal 8 2 2 4 7 2" xfId="13295" xr:uid="{404C6DBE-C103-4746-9206-EA98EC38DA36}"/>
    <cellStyle name="Normal 8 2 2 4 8" xfId="9077" xr:uid="{B177271B-4AA4-4E75-A83B-2B622CA4A8E3}"/>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38D1C3FF-FC3E-4FB2-A737-79ADE1F63882}"/>
    <cellStyle name="Normal 8 2 2 5 2 3" xfId="11628" xr:uid="{9D00E3CC-EDD3-484E-B306-131CE75A8D53}"/>
    <cellStyle name="Normal 8 2 2 5 3" xfId="5259" xr:uid="{00000000-0005-0000-0000-0000841C0000}"/>
    <cellStyle name="Normal 8 2 2 5 3 2" xfId="13701" xr:uid="{4D774559-0C83-4630-8273-6C35A61B9A3E}"/>
    <cellStyle name="Normal 8 2 2 5 4" xfId="9483" xr:uid="{7F818FAD-A77D-40DF-9080-52DD95DD2D5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601FC0BF-B130-4D82-8C6F-B0A6C94A4158}"/>
    <cellStyle name="Normal 8 2 2 6 2 3" xfId="12041" xr:uid="{4028A056-8AA0-42DA-BA31-C9DA5418186F}"/>
    <cellStyle name="Normal 8 2 2 6 3" xfId="5672" xr:uid="{00000000-0005-0000-0000-0000881C0000}"/>
    <cellStyle name="Normal 8 2 2 6 3 2" xfId="14114" xr:uid="{EAE282FF-0E7C-44C4-8D2D-B5BBFD94336A}"/>
    <cellStyle name="Normal 8 2 2 6 4" xfId="9896" xr:uid="{C2A008BE-6D05-4073-AA5F-1A2677CFF10B}"/>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3B4AC35E-2777-4177-9A0C-B18760D00CD3}"/>
    <cellStyle name="Normal 8 2 2 7 2 3" xfId="12454" xr:uid="{C9110B7A-F4C1-4BD4-96B9-08D5031A0A79}"/>
    <cellStyle name="Normal 8 2 2 7 3" xfId="6085" xr:uid="{00000000-0005-0000-0000-00008C1C0000}"/>
    <cellStyle name="Normal 8 2 2 7 3 2" xfId="14527" xr:uid="{7F429B25-AFD6-4350-A121-40C4E844D930}"/>
    <cellStyle name="Normal 8 2 2 7 4" xfId="10309" xr:uid="{C6EAFD1C-CB58-4950-9FCB-B84A3BEF196E}"/>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69EACCD5-4058-481C-8B76-3233D076E424}"/>
    <cellStyle name="Normal 8 2 2 8 2 3" xfId="12867" xr:uid="{52403708-1C16-4BDC-B43D-75877A072D21}"/>
    <cellStyle name="Normal 8 2 2 8 3" xfId="6498" xr:uid="{00000000-0005-0000-0000-0000901C0000}"/>
    <cellStyle name="Normal 8 2 2 8 3 2" xfId="14940" xr:uid="{411A9E40-E957-4C2F-AEBD-735EC35992AC}"/>
    <cellStyle name="Normal 8 2 2 8 4" xfId="10722" xr:uid="{53F3B279-A768-4CEB-A6F6-CBA20CF2AC55}"/>
    <cellStyle name="Normal 8 2 2 9" xfId="2627" xr:uid="{00000000-0005-0000-0000-0000911C0000}"/>
    <cellStyle name="Normal 8 2 2 9 2" xfId="6911" xr:uid="{00000000-0005-0000-0000-0000921C0000}"/>
    <cellStyle name="Normal 8 2 2 9 2 2" xfId="15353" xr:uid="{FED131F8-BCA7-47F4-AD47-FE8150A230BA}"/>
    <cellStyle name="Normal 8 2 2 9 3" xfId="11135" xr:uid="{E7F0517C-5124-4BEE-B275-84BD3DD49169}"/>
    <cellStyle name="Normal 8 2 3" xfId="488" xr:uid="{00000000-0005-0000-0000-0000931C0000}"/>
    <cellStyle name="Normal 8 2 3 10" xfId="9078" xr:uid="{CCC14C10-9C1B-41DA-84BA-43BF9C5BADF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2540E673-9D48-4562-AF48-B930B0BE25B3}"/>
    <cellStyle name="Normal 8 2 3 2 2 2 2 3" xfId="11638" xr:uid="{ABBA3E66-F91D-4EC0-B33F-894C453A231A}"/>
    <cellStyle name="Normal 8 2 3 2 2 2 3" xfId="5269" xr:uid="{00000000-0005-0000-0000-0000991C0000}"/>
    <cellStyle name="Normal 8 2 3 2 2 2 3 2" xfId="13711" xr:uid="{85C7D4CF-EACF-4DC9-AFF8-A261DEAFF4A9}"/>
    <cellStyle name="Normal 8 2 3 2 2 2 4" xfId="9493" xr:uid="{C76DE7C9-034E-4E98-B4FC-AC75DFC3DA5A}"/>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3B76B69F-DBCB-435D-92A1-47B929800F81}"/>
    <cellStyle name="Normal 8 2 3 2 2 3 2 3" xfId="12051" xr:uid="{8A3009CB-4854-4E71-9D06-F0F78B3894C2}"/>
    <cellStyle name="Normal 8 2 3 2 2 3 3" xfId="5682" xr:uid="{00000000-0005-0000-0000-00009D1C0000}"/>
    <cellStyle name="Normal 8 2 3 2 2 3 3 2" xfId="14124" xr:uid="{3CEA560E-669A-40D9-B8F6-51789D08E15B}"/>
    <cellStyle name="Normal 8 2 3 2 2 3 4" xfId="9906" xr:uid="{B9893D7C-14B1-414C-8CCD-64E58A607936}"/>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6652283E-88B3-480A-8C23-4C9260471550}"/>
    <cellStyle name="Normal 8 2 3 2 2 4 2 3" xfId="12464" xr:uid="{D15D42E2-C4BA-4195-AA92-6262A96C9250}"/>
    <cellStyle name="Normal 8 2 3 2 2 4 3" xfId="6095" xr:uid="{00000000-0005-0000-0000-0000A11C0000}"/>
    <cellStyle name="Normal 8 2 3 2 2 4 3 2" xfId="14537" xr:uid="{FDB9850C-B33C-4825-9422-79D33C5A9699}"/>
    <cellStyle name="Normal 8 2 3 2 2 4 4" xfId="10319" xr:uid="{6B286CF7-C95B-45FF-99ED-4916436D1DC4}"/>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A770AD96-825E-4EBD-86AF-4210E7210235}"/>
    <cellStyle name="Normal 8 2 3 2 2 5 2 3" xfId="12877" xr:uid="{D5F9328E-35F5-4DFE-A0BE-F3D96AE40F4C}"/>
    <cellStyle name="Normal 8 2 3 2 2 5 3" xfId="6508" xr:uid="{00000000-0005-0000-0000-0000A51C0000}"/>
    <cellStyle name="Normal 8 2 3 2 2 5 3 2" xfId="14950" xr:uid="{5C81C744-6BE6-4F3C-A90D-FB218D03225E}"/>
    <cellStyle name="Normal 8 2 3 2 2 5 4" xfId="10732" xr:uid="{09DF790F-1201-465C-B095-226334487D09}"/>
    <cellStyle name="Normal 8 2 3 2 2 6" xfId="2637" xr:uid="{00000000-0005-0000-0000-0000A61C0000}"/>
    <cellStyle name="Normal 8 2 3 2 2 6 2" xfId="6921" xr:uid="{00000000-0005-0000-0000-0000A71C0000}"/>
    <cellStyle name="Normal 8 2 3 2 2 6 2 2" xfId="15363" xr:uid="{A95D6F70-23A0-4DF0-80EE-C9AE75C2E2A5}"/>
    <cellStyle name="Normal 8 2 3 2 2 6 3" xfId="11145" xr:uid="{A748FDFC-B110-4C10-95C9-34F5A090CF75}"/>
    <cellStyle name="Normal 8 2 3 2 2 7" xfId="4856" xr:uid="{00000000-0005-0000-0000-0000A81C0000}"/>
    <cellStyle name="Normal 8 2 3 2 2 7 2" xfId="13298" xr:uid="{7DAA5E0E-F90F-4935-9B02-40CB9D508A28}"/>
    <cellStyle name="Normal 8 2 3 2 2 8" xfId="9080" xr:uid="{13CD158F-DCAD-4447-81DF-6A6B4BF2F2C4}"/>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F9AE0B58-8869-4645-9DAB-E1ACB36F3E75}"/>
    <cellStyle name="Normal 8 2 3 2 3 2 3" xfId="11637" xr:uid="{0E5D7E5C-2B07-4665-B175-42C63A0E835E}"/>
    <cellStyle name="Normal 8 2 3 2 3 3" xfId="5268" xr:uid="{00000000-0005-0000-0000-0000AC1C0000}"/>
    <cellStyle name="Normal 8 2 3 2 3 3 2" xfId="13710" xr:uid="{242EF3EA-1708-43D6-85D6-FABE3C547DE7}"/>
    <cellStyle name="Normal 8 2 3 2 3 4" xfId="9492" xr:uid="{EB8BF507-0053-4823-A332-71A66136F4EA}"/>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9848EEE2-5DB3-475E-B60B-EB9D0BDE7E9D}"/>
    <cellStyle name="Normal 8 2 3 2 4 2 3" xfId="12050" xr:uid="{C658F82B-51D8-4533-80FE-B838B3A3A453}"/>
    <cellStyle name="Normal 8 2 3 2 4 3" xfId="5681" xr:uid="{00000000-0005-0000-0000-0000B01C0000}"/>
    <cellStyle name="Normal 8 2 3 2 4 3 2" xfId="14123" xr:uid="{AC2E7813-8147-4A9A-A646-4919786B84D5}"/>
    <cellStyle name="Normal 8 2 3 2 4 4" xfId="9905" xr:uid="{BEA77571-F31F-4B17-A142-ACF231CD8874}"/>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D5BE88A3-9634-4D66-8FCA-D70D54E105AB}"/>
    <cellStyle name="Normal 8 2 3 2 5 2 3" xfId="12463" xr:uid="{E9E7B217-C786-488A-9E3A-2D1FC98D3992}"/>
    <cellStyle name="Normal 8 2 3 2 5 3" xfId="6094" xr:uid="{00000000-0005-0000-0000-0000B41C0000}"/>
    <cellStyle name="Normal 8 2 3 2 5 3 2" xfId="14536" xr:uid="{AD366CC3-A2B8-4755-9E62-640F65A7F227}"/>
    <cellStyle name="Normal 8 2 3 2 5 4" xfId="10318" xr:uid="{E1707033-9FA7-4CDA-BBB7-5BD01D69FC6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48A507D3-28FF-40C3-BFB0-5404B199E700}"/>
    <cellStyle name="Normal 8 2 3 2 6 2 3" xfId="12876" xr:uid="{1BC1CB1B-FE7C-4882-B4C7-8019A69FF08A}"/>
    <cellStyle name="Normal 8 2 3 2 6 3" xfId="6507" xr:uid="{00000000-0005-0000-0000-0000B81C0000}"/>
    <cellStyle name="Normal 8 2 3 2 6 3 2" xfId="14949" xr:uid="{6B7DED75-2E52-4C13-AE66-A3FEFC6F40A8}"/>
    <cellStyle name="Normal 8 2 3 2 6 4" xfId="10731" xr:uid="{0D32E492-225C-4791-A158-69C7DD143FAF}"/>
    <cellStyle name="Normal 8 2 3 2 7" xfId="2636" xr:uid="{00000000-0005-0000-0000-0000B91C0000}"/>
    <cellStyle name="Normal 8 2 3 2 7 2" xfId="6920" xr:uid="{00000000-0005-0000-0000-0000BA1C0000}"/>
    <cellStyle name="Normal 8 2 3 2 7 2 2" xfId="15362" xr:uid="{856DB0ED-61F4-49F5-B343-D696F8296E25}"/>
    <cellStyle name="Normal 8 2 3 2 7 3" xfId="11144" xr:uid="{8A838785-D036-4A1C-8051-E44C6605915D}"/>
    <cellStyle name="Normal 8 2 3 2 8" xfId="4855" xr:uid="{00000000-0005-0000-0000-0000BB1C0000}"/>
    <cellStyle name="Normal 8 2 3 2 8 2" xfId="13297" xr:uid="{3078B507-4E02-4EE8-915B-C1DB7B3FE02E}"/>
    <cellStyle name="Normal 8 2 3 2 9" xfId="9079" xr:uid="{105B7872-3ED2-4AE5-BC0E-FA55A904545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E98C481C-E00C-4CC1-A552-CF5AA4DF7BA0}"/>
    <cellStyle name="Normal 8 2 3 3 2 2 3" xfId="11639" xr:uid="{5894AA23-7D08-4E1F-A854-B1EB86E28923}"/>
    <cellStyle name="Normal 8 2 3 3 2 3" xfId="5270" xr:uid="{00000000-0005-0000-0000-0000C01C0000}"/>
    <cellStyle name="Normal 8 2 3 3 2 3 2" xfId="13712" xr:uid="{FD587E1C-0B01-4DA6-B815-C5AA0E7810E2}"/>
    <cellStyle name="Normal 8 2 3 3 2 4" xfId="9494" xr:uid="{DC07A4A0-5216-45C4-BBEF-AC2D25D15EE5}"/>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CCC58E2E-ACFF-4B7B-958C-AD0623B08E89}"/>
    <cellStyle name="Normal 8 2 3 3 3 2 3" xfId="12052" xr:uid="{80F7EF3B-2D13-426D-9DEB-B1E049582FD5}"/>
    <cellStyle name="Normal 8 2 3 3 3 3" xfId="5683" xr:uid="{00000000-0005-0000-0000-0000C41C0000}"/>
    <cellStyle name="Normal 8 2 3 3 3 3 2" xfId="14125" xr:uid="{D5F03519-DCD5-422F-9630-7F3EE05F4A2C}"/>
    <cellStyle name="Normal 8 2 3 3 3 4" xfId="9907" xr:uid="{490F6093-473D-4C4F-B1DC-08033ACE7ABF}"/>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B736532D-6EBD-41BD-BA93-AB5B7E3A527C}"/>
    <cellStyle name="Normal 8 2 3 3 4 2 3" xfId="12465" xr:uid="{5B8D2858-BA2E-4091-B296-CAB746DF467E}"/>
    <cellStyle name="Normal 8 2 3 3 4 3" xfId="6096" xr:uid="{00000000-0005-0000-0000-0000C81C0000}"/>
    <cellStyle name="Normal 8 2 3 3 4 3 2" xfId="14538" xr:uid="{C56364E3-CF1B-455D-9129-D4CBF52768D2}"/>
    <cellStyle name="Normal 8 2 3 3 4 4" xfId="10320" xr:uid="{B892BF56-CC9B-430B-82C7-467827228752}"/>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416DB061-392C-4B10-85EB-A8F02CDC78EA}"/>
    <cellStyle name="Normal 8 2 3 3 5 2 3" xfId="12878" xr:uid="{F9219E36-367E-499A-8958-59DCF529B45B}"/>
    <cellStyle name="Normal 8 2 3 3 5 3" xfId="6509" xr:uid="{00000000-0005-0000-0000-0000CC1C0000}"/>
    <cellStyle name="Normal 8 2 3 3 5 3 2" xfId="14951" xr:uid="{15BA9713-9634-4D21-B89A-53F4A3396E3C}"/>
    <cellStyle name="Normal 8 2 3 3 5 4" xfId="10733" xr:uid="{09C6B946-5FD6-4D5D-B1AE-43FE61DD46F8}"/>
    <cellStyle name="Normal 8 2 3 3 6" xfId="2638" xr:uid="{00000000-0005-0000-0000-0000CD1C0000}"/>
    <cellStyle name="Normal 8 2 3 3 6 2" xfId="6922" xr:uid="{00000000-0005-0000-0000-0000CE1C0000}"/>
    <cellStyle name="Normal 8 2 3 3 6 2 2" xfId="15364" xr:uid="{C3EA45D6-25FA-48ED-8BBC-F42A5B56855A}"/>
    <cellStyle name="Normal 8 2 3 3 6 3" xfId="11146" xr:uid="{4A9869C4-27B2-4047-902C-462425448C4D}"/>
    <cellStyle name="Normal 8 2 3 3 7" xfId="4857" xr:uid="{00000000-0005-0000-0000-0000CF1C0000}"/>
    <cellStyle name="Normal 8 2 3 3 7 2" xfId="13299" xr:uid="{CAAC30C7-E5A0-4EE0-9869-876FA7117518}"/>
    <cellStyle name="Normal 8 2 3 3 8" xfId="9081" xr:uid="{DEB9B273-3BC0-454B-9A17-32FA1D4C010F}"/>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128D0348-F931-4ED9-8989-F0491F602D5B}"/>
    <cellStyle name="Normal 8 2 3 4 2 3" xfId="11636" xr:uid="{429D2272-DD8B-4061-917C-CAB42F242C80}"/>
    <cellStyle name="Normal 8 2 3 4 3" xfId="5267" xr:uid="{00000000-0005-0000-0000-0000D31C0000}"/>
    <cellStyle name="Normal 8 2 3 4 3 2" xfId="13709" xr:uid="{08616731-4EE8-46B0-82C9-32D49B554C20}"/>
    <cellStyle name="Normal 8 2 3 4 4" xfId="9491" xr:uid="{2A4835F8-868F-4EF7-989B-4F0E74FF9784}"/>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91B4AC92-600E-4234-B90C-30E890918BBC}"/>
    <cellStyle name="Normal 8 2 3 5 2 3" xfId="12049" xr:uid="{7B379D57-BD62-4612-ADB2-E45FEB5E40B3}"/>
    <cellStyle name="Normal 8 2 3 5 3" xfId="5680" xr:uid="{00000000-0005-0000-0000-0000D71C0000}"/>
    <cellStyle name="Normal 8 2 3 5 3 2" xfId="14122" xr:uid="{43A8F806-8849-4D9C-99A9-2D5A4D084716}"/>
    <cellStyle name="Normal 8 2 3 5 4" xfId="9904" xr:uid="{9AE075DE-B542-41B6-9E6A-EA21F3825835}"/>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1E6099EF-DFB7-4BAC-AF24-F89258CB515B}"/>
    <cellStyle name="Normal 8 2 3 6 2 3" xfId="12462" xr:uid="{C903F8DA-571E-4694-89DB-4E4F28FD8B26}"/>
    <cellStyle name="Normal 8 2 3 6 3" xfId="6093" xr:uid="{00000000-0005-0000-0000-0000DB1C0000}"/>
    <cellStyle name="Normal 8 2 3 6 3 2" xfId="14535" xr:uid="{7D2EFEFC-FBF2-42E9-B34D-1663150A3FEE}"/>
    <cellStyle name="Normal 8 2 3 6 4" xfId="10317" xr:uid="{0EE7E385-0718-4466-BDFB-850622C5A662}"/>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7D84C5F6-45EB-459C-9C43-9CA45E0F6F65}"/>
    <cellStyle name="Normal 8 2 3 7 2 3" xfId="12875" xr:uid="{2F5CDE33-A156-4EFC-B8EE-C35B8F58F773}"/>
    <cellStyle name="Normal 8 2 3 7 3" xfId="6506" xr:uid="{00000000-0005-0000-0000-0000DF1C0000}"/>
    <cellStyle name="Normal 8 2 3 7 3 2" xfId="14948" xr:uid="{6EB07446-36B6-44AE-9097-F7FE00F82B6D}"/>
    <cellStyle name="Normal 8 2 3 7 4" xfId="10730" xr:uid="{EAA8DF3A-ACA7-4393-A09B-811AE3B60354}"/>
    <cellStyle name="Normal 8 2 3 8" xfId="2635" xr:uid="{00000000-0005-0000-0000-0000E01C0000}"/>
    <cellStyle name="Normal 8 2 3 8 2" xfId="6919" xr:uid="{00000000-0005-0000-0000-0000E11C0000}"/>
    <cellStyle name="Normal 8 2 3 8 2 2" xfId="15361" xr:uid="{7574673F-A55B-4885-8C89-113DBEE2794C}"/>
    <cellStyle name="Normal 8 2 3 8 3" xfId="11143" xr:uid="{E2496D63-1720-4693-8757-F90CE92FB231}"/>
    <cellStyle name="Normal 8 2 3 9" xfId="4854" xr:uid="{00000000-0005-0000-0000-0000E21C0000}"/>
    <cellStyle name="Normal 8 2 3 9 2" xfId="13296" xr:uid="{6360129E-C7AF-44C8-B869-F54F4783C9C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560FE65B-DB56-46BB-99C3-6E6DDCF6199E}"/>
    <cellStyle name="Normal 8 2 4 2 2 2 3" xfId="11641" xr:uid="{8B904D67-8C5E-4F51-A62D-E4514D11D8F4}"/>
    <cellStyle name="Normal 8 2 4 2 2 3" xfId="5272" xr:uid="{00000000-0005-0000-0000-0000E81C0000}"/>
    <cellStyle name="Normal 8 2 4 2 2 3 2" xfId="13714" xr:uid="{D95D535C-0A79-45D8-B17F-D9D5CA00762F}"/>
    <cellStyle name="Normal 8 2 4 2 2 4" xfId="9496" xr:uid="{50A321C3-5DB8-4320-B722-A4D28554A447}"/>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4723E5F5-1B05-4DAA-BADC-E560C487CA41}"/>
    <cellStyle name="Normal 8 2 4 2 3 2 3" xfId="12054" xr:uid="{A35801D3-E00D-4009-8F25-6DEE485791CB}"/>
    <cellStyle name="Normal 8 2 4 2 3 3" xfId="5685" xr:uid="{00000000-0005-0000-0000-0000EC1C0000}"/>
    <cellStyle name="Normal 8 2 4 2 3 3 2" xfId="14127" xr:uid="{4A98EA70-90F7-4C5B-BCC9-8645E35EA5F2}"/>
    <cellStyle name="Normal 8 2 4 2 3 4" xfId="9909" xr:uid="{B3298EC2-DD4A-4146-8132-A4C08CD5630C}"/>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5FDF5A32-1A87-4B13-A5AC-958C0D936A09}"/>
    <cellStyle name="Normal 8 2 4 2 4 2 3" xfId="12467" xr:uid="{63AEB2B5-6A1C-4BE9-919F-B316D1D3695D}"/>
    <cellStyle name="Normal 8 2 4 2 4 3" xfId="6098" xr:uid="{00000000-0005-0000-0000-0000F01C0000}"/>
    <cellStyle name="Normal 8 2 4 2 4 3 2" xfId="14540" xr:uid="{B71794CC-BDA6-476F-B9E8-EB39BD3D1ED1}"/>
    <cellStyle name="Normal 8 2 4 2 4 4" xfId="10322" xr:uid="{8BE57568-08B7-4461-BAC2-44E52C6D5C6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95C3B7E7-A931-4BDA-A298-B55101858475}"/>
    <cellStyle name="Normal 8 2 4 2 5 2 3" xfId="12880" xr:uid="{2E4691A7-0A60-4363-B795-6E667071BDBD}"/>
    <cellStyle name="Normal 8 2 4 2 5 3" xfId="6511" xr:uid="{00000000-0005-0000-0000-0000F41C0000}"/>
    <cellStyle name="Normal 8 2 4 2 5 3 2" xfId="14953" xr:uid="{684620FF-D7AA-4FE1-8843-73CC417F1DF6}"/>
    <cellStyle name="Normal 8 2 4 2 5 4" xfId="10735" xr:uid="{AE537913-6F2B-4EA8-907F-B5B26708E370}"/>
    <cellStyle name="Normal 8 2 4 2 6" xfId="2640" xr:uid="{00000000-0005-0000-0000-0000F51C0000}"/>
    <cellStyle name="Normal 8 2 4 2 6 2" xfId="6924" xr:uid="{00000000-0005-0000-0000-0000F61C0000}"/>
    <cellStyle name="Normal 8 2 4 2 6 2 2" xfId="15366" xr:uid="{891D6291-ACE0-4663-8E2D-FEE135D3F574}"/>
    <cellStyle name="Normal 8 2 4 2 6 3" xfId="11148" xr:uid="{C5DD2125-A1F8-4629-9E3C-B199511D9571}"/>
    <cellStyle name="Normal 8 2 4 2 7" xfId="4859" xr:uid="{00000000-0005-0000-0000-0000F71C0000}"/>
    <cellStyle name="Normal 8 2 4 2 7 2" xfId="13301" xr:uid="{E28393B5-79E7-46A9-91F2-81999C43732E}"/>
    <cellStyle name="Normal 8 2 4 2 8" xfId="9083" xr:uid="{206CC5D8-0875-4BBC-8AA9-710A1C9A9BB6}"/>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5FFA0208-9B03-47EB-AC39-752FB0ED0B08}"/>
    <cellStyle name="Normal 8 2 4 3 2 3" xfId="11640" xr:uid="{13F22526-F388-4260-A53B-88AE123F8604}"/>
    <cellStyle name="Normal 8 2 4 3 3" xfId="5271" xr:uid="{00000000-0005-0000-0000-0000FB1C0000}"/>
    <cellStyle name="Normal 8 2 4 3 3 2" xfId="13713" xr:uid="{3760909D-4183-4511-BDA6-C9DFE8B5C9A7}"/>
    <cellStyle name="Normal 8 2 4 3 4" xfId="9495" xr:uid="{048B18D8-74D9-4271-BDD2-FE267BB7841C}"/>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35B9E782-9DCF-4E84-8230-8FD06BA679C4}"/>
    <cellStyle name="Normal 8 2 4 4 2 3" xfId="12053" xr:uid="{8CCE1BB3-C736-4192-9FFF-234326327AED}"/>
    <cellStyle name="Normal 8 2 4 4 3" xfId="5684" xr:uid="{00000000-0005-0000-0000-0000FF1C0000}"/>
    <cellStyle name="Normal 8 2 4 4 3 2" xfId="14126" xr:uid="{31C5929C-0FE7-4C40-B0B5-2F99840B2253}"/>
    <cellStyle name="Normal 8 2 4 4 4" xfId="9908" xr:uid="{F8C03369-D6C5-4B41-A8A6-4AE72193173A}"/>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01CD5A78-42DE-4F66-B0A6-C5F9828258E6}"/>
    <cellStyle name="Normal 8 2 4 5 2 3" xfId="12466" xr:uid="{4BA2AFC3-F7F1-4856-9ADB-2A52BA686C4B}"/>
    <cellStyle name="Normal 8 2 4 5 3" xfId="6097" xr:uid="{00000000-0005-0000-0000-0000031D0000}"/>
    <cellStyle name="Normal 8 2 4 5 3 2" xfId="14539" xr:uid="{0DE91F62-9C70-462E-8128-0974786EB380}"/>
    <cellStyle name="Normal 8 2 4 5 4" xfId="10321" xr:uid="{BADECBE1-9C09-4265-BEA1-56B7304DC88A}"/>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7AB2D1B2-4AE0-4234-BC5D-5972DA7F6BF3}"/>
    <cellStyle name="Normal 8 2 4 6 2 3" xfId="12879" xr:uid="{F2BE188C-6E56-4027-9986-155AFD7BA7F7}"/>
    <cellStyle name="Normal 8 2 4 6 3" xfId="6510" xr:uid="{00000000-0005-0000-0000-0000071D0000}"/>
    <cellStyle name="Normal 8 2 4 6 3 2" xfId="14952" xr:uid="{D406DB7B-73C5-42D5-83B5-AF5CF8CE34FC}"/>
    <cellStyle name="Normal 8 2 4 6 4" xfId="10734" xr:uid="{D037275E-A231-4F1F-BBE8-B0DCDAC7F2E4}"/>
    <cellStyle name="Normal 8 2 4 7" xfId="2639" xr:uid="{00000000-0005-0000-0000-0000081D0000}"/>
    <cellStyle name="Normal 8 2 4 7 2" xfId="6923" xr:uid="{00000000-0005-0000-0000-0000091D0000}"/>
    <cellStyle name="Normal 8 2 4 7 2 2" xfId="15365" xr:uid="{7DA34A5C-C4EC-4C34-877F-DC9EE6178149}"/>
    <cellStyle name="Normal 8 2 4 7 3" xfId="11147" xr:uid="{F6D02BD9-B63E-482F-84DC-2C7FB26A5A71}"/>
    <cellStyle name="Normal 8 2 4 8" xfId="4858" xr:uid="{00000000-0005-0000-0000-00000A1D0000}"/>
    <cellStyle name="Normal 8 2 4 8 2" xfId="13300" xr:uid="{81300D80-2999-4397-99FC-4195EEC72E1E}"/>
    <cellStyle name="Normal 8 2 4 9" xfId="9082" xr:uid="{A232A976-15E5-4475-AC94-F0DADEDCD41D}"/>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98AF2D1B-0AC8-49C6-AC97-CB959694F434}"/>
    <cellStyle name="Normal 8 2 5 2 2 3" xfId="11642" xr:uid="{836F2AF0-440A-4650-A334-5AB7C418E05A}"/>
    <cellStyle name="Normal 8 2 5 2 3" xfId="5273" xr:uid="{00000000-0005-0000-0000-00000F1D0000}"/>
    <cellStyle name="Normal 8 2 5 2 3 2" xfId="13715" xr:uid="{4F32790E-D331-433B-AB03-C084C00E6DDE}"/>
    <cellStyle name="Normal 8 2 5 2 4" xfId="9497" xr:uid="{737DD05B-8C8F-42EC-B93C-891B98EDF42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8039E194-F727-48ED-9A27-315AFFE21088}"/>
    <cellStyle name="Normal 8 2 5 3 2 3" xfId="12055" xr:uid="{544F32DE-1E5A-46D1-B879-0F5F90AA1D11}"/>
    <cellStyle name="Normal 8 2 5 3 3" xfId="5686" xr:uid="{00000000-0005-0000-0000-0000131D0000}"/>
    <cellStyle name="Normal 8 2 5 3 3 2" xfId="14128" xr:uid="{67B0B45C-B34B-4854-9857-8E8CCB0606FE}"/>
    <cellStyle name="Normal 8 2 5 3 4" xfId="9910" xr:uid="{23029543-8444-47A6-8F57-E7C5F1159999}"/>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9CDB96C0-E865-4F35-8BC1-5A7D9375C9ED}"/>
    <cellStyle name="Normal 8 2 5 4 2 3" xfId="12468" xr:uid="{0AAC3935-208B-45D1-BEDF-8576309C2A99}"/>
    <cellStyle name="Normal 8 2 5 4 3" xfId="6099" xr:uid="{00000000-0005-0000-0000-0000171D0000}"/>
    <cellStyle name="Normal 8 2 5 4 3 2" xfId="14541" xr:uid="{CE800359-7708-4F6A-90E5-A35AA02251A0}"/>
    <cellStyle name="Normal 8 2 5 4 4" xfId="10323" xr:uid="{B6280F30-A40F-4655-85B6-527C211B9A39}"/>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1919671F-097D-45CB-8C47-A7A5587F22BB}"/>
    <cellStyle name="Normal 8 2 5 5 2 3" xfId="12881" xr:uid="{B23F2B0E-7807-4A9D-9656-033FD1D0597E}"/>
    <cellStyle name="Normal 8 2 5 5 3" xfId="6512" xr:uid="{00000000-0005-0000-0000-00001B1D0000}"/>
    <cellStyle name="Normal 8 2 5 5 3 2" xfId="14954" xr:uid="{DE894758-6A08-4AE9-9FD5-8B9D6AFDB952}"/>
    <cellStyle name="Normal 8 2 5 5 4" xfId="10736" xr:uid="{47724EBA-CE5F-4043-801F-B3B5894193DB}"/>
    <cellStyle name="Normal 8 2 5 6" xfId="2641" xr:uid="{00000000-0005-0000-0000-00001C1D0000}"/>
    <cellStyle name="Normal 8 2 5 6 2" xfId="6925" xr:uid="{00000000-0005-0000-0000-00001D1D0000}"/>
    <cellStyle name="Normal 8 2 5 6 2 2" xfId="15367" xr:uid="{EA610312-B01D-471A-BA33-1CF06E70AB8F}"/>
    <cellStyle name="Normal 8 2 5 6 3" xfId="11149" xr:uid="{8C24EDEE-744C-449A-B839-7EFACBE71330}"/>
    <cellStyle name="Normal 8 2 5 7" xfId="4860" xr:uid="{00000000-0005-0000-0000-00001E1D0000}"/>
    <cellStyle name="Normal 8 2 5 7 2" xfId="13302" xr:uid="{D128D837-9877-480D-A662-D0D1728E5A14}"/>
    <cellStyle name="Normal 8 2 5 8" xfId="9084" xr:uid="{0A1AC2E3-E4AF-4C84-A4D3-4D04AFA67C55}"/>
    <cellStyle name="Normal 8 2 6" xfId="946" xr:uid="{00000000-0005-0000-0000-00001F1D0000}"/>
    <cellStyle name="Normal 8 2 6 2" xfId="3180" xr:uid="{00000000-0005-0000-0000-0000201D0000}"/>
    <cellStyle name="Normal 8 2 6 2 2" xfId="7403" xr:uid="{00000000-0005-0000-0000-0000211D0000}"/>
    <cellStyle name="Normal 8 2 6 2 2 2" xfId="15845" xr:uid="{F38E40E0-795B-4B54-9553-786E6EE39C8E}"/>
    <cellStyle name="Normal 8 2 6 2 3" xfId="11627" xr:uid="{BA74D65C-46CD-4DC7-A687-C8082F671A82}"/>
    <cellStyle name="Normal 8 2 6 3" xfId="5258" xr:uid="{00000000-0005-0000-0000-0000221D0000}"/>
    <cellStyle name="Normal 8 2 6 3 2" xfId="13700" xr:uid="{3A37183A-C5E2-433C-B315-62707A1CBD19}"/>
    <cellStyle name="Normal 8 2 6 4" xfId="9482" xr:uid="{C0198913-9C8A-4E93-AD72-B4AD498506E1}"/>
    <cellStyle name="Normal 8 2 7" xfId="1363" xr:uid="{00000000-0005-0000-0000-0000231D0000}"/>
    <cellStyle name="Normal 8 2 7 2" xfId="3593" xr:uid="{00000000-0005-0000-0000-0000241D0000}"/>
    <cellStyle name="Normal 8 2 7 2 2" xfId="7816" xr:uid="{00000000-0005-0000-0000-0000251D0000}"/>
    <cellStyle name="Normal 8 2 7 2 2 2" xfId="16258" xr:uid="{53F86690-8001-4915-9AD6-D58E222311FC}"/>
    <cellStyle name="Normal 8 2 7 2 3" xfId="12040" xr:uid="{474F69F2-7104-4BB4-A0C7-5E60372AAAEE}"/>
    <cellStyle name="Normal 8 2 7 3" xfId="5671" xr:uid="{00000000-0005-0000-0000-0000261D0000}"/>
    <cellStyle name="Normal 8 2 7 3 2" xfId="14113" xr:uid="{5271BEE5-3835-4F2B-A668-B8CFA56BF75D}"/>
    <cellStyle name="Normal 8 2 7 4" xfId="9895" xr:uid="{9AD3D2C2-1FDF-4C0C-A1AA-3A0030B2FFD2}"/>
    <cellStyle name="Normal 8 2 8" xfId="1776" xr:uid="{00000000-0005-0000-0000-0000271D0000}"/>
    <cellStyle name="Normal 8 2 8 2" xfId="4006" xr:uid="{00000000-0005-0000-0000-0000281D0000}"/>
    <cellStyle name="Normal 8 2 8 2 2" xfId="8229" xr:uid="{00000000-0005-0000-0000-0000291D0000}"/>
    <cellStyle name="Normal 8 2 8 2 2 2" xfId="16671" xr:uid="{F7C99B53-04D3-4981-BDDA-AE81F584BB1A}"/>
    <cellStyle name="Normal 8 2 8 2 3" xfId="12453" xr:uid="{EFCB2873-A289-46DD-AE08-1EF11DA6FB3C}"/>
    <cellStyle name="Normal 8 2 8 3" xfId="6084" xr:uid="{00000000-0005-0000-0000-00002A1D0000}"/>
    <cellStyle name="Normal 8 2 8 3 2" xfId="14526" xr:uid="{94B300E3-274D-4CE0-9B76-473F4572D5DC}"/>
    <cellStyle name="Normal 8 2 8 4" xfId="10308" xr:uid="{562023DE-4C70-4D97-831E-2356415E8430}"/>
    <cellStyle name="Normal 8 2 9" xfId="2190" xr:uid="{00000000-0005-0000-0000-00002B1D0000}"/>
    <cellStyle name="Normal 8 2 9 2" xfId="4419" xr:uid="{00000000-0005-0000-0000-00002C1D0000}"/>
    <cellStyle name="Normal 8 2 9 2 2" xfId="8642" xr:uid="{00000000-0005-0000-0000-00002D1D0000}"/>
    <cellStyle name="Normal 8 2 9 2 2 2" xfId="17084" xr:uid="{E4DDB215-CD54-46FE-9DF0-DE84D1781DEA}"/>
    <cellStyle name="Normal 8 2 9 2 3" xfId="12866" xr:uid="{E8997C77-D229-4555-9800-322D94C4780E}"/>
    <cellStyle name="Normal 8 2 9 3" xfId="6497" xr:uid="{00000000-0005-0000-0000-00002E1D0000}"/>
    <cellStyle name="Normal 8 2 9 3 2" xfId="14939" xr:uid="{ADC16C65-FB9E-48EF-BD9C-68D4BE09AD09}"/>
    <cellStyle name="Normal 8 2 9 4" xfId="10721" xr:uid="{6248C2F9-9F2A-4E3D-9B09-4C577D9FD9B6}"/>
    <cellStyle name="Normal 8 3" xfId="495" xr:uid="{00000000-0005-0000-0000-00002F1D0000}"/>
    <cellStyle name="Normal 8 3 10" xfId="4861" xr:uid="{00000000-0005-0000-0000-0000301D0000}"/>
    <cellStyle name="Normal 8 3 10 2" xfId="13303" xr:uid="{8F39DFF9-E06C-472B-A3B3-1972CCF0002C}"/>
    <cellStyle name="Normal 8 3 11" xfId="9085" xr:uid="{EB1AFBE3-36B4-4B49-942F-88384A55B0C2}"/>
    <cellStyle name="Normal 8 3 2" xfId="496" xr:uid="{00000000-0005-0000-0000-0000311D0000}"/>
    <cellStyle name="Normal 8 3 2 10" xfId="9086" xr:uid="{73D37BF0-32C6-4292-9593-A5099DADD565}"/>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993BFE25-57AE-4AA5-9EEB-359D7C84170D}"/>
    <cellStyle name="Normal 8 3 2 2 2 2 2 3" xfId="11646" xr:uid="{F9128FE9-AACA-4CF4-9130-35250B937706}"/>
    <cellStyle name="Normal 8 3 2 2 2 2 3" xfId="5277" xr:uid="{00000000-0005-0000-0000-0000371D0000}"/>
    <cellStyle name="Normal 8 3 2 2 2 2 3 2" xfId="13719" xr:uid="{D611C5FC-5A3F-4D68-98B9-3265932CA129}"/>
    <cellStyle name="Normal 8 3 2 2 2 2 4" xfId="9501" xr:uid="{E049D90F-070B-4A09-94A5-3A4E13D36612}"/>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F009C718-C17F-4C70-A5E5-41492591042D}"/>
    <cellStyle name="Normal 8 3 2 2 2 3 2 3" xfId="12059" xr:uid="{DB81F0B9-3ED7-4718-8A50-29D995CE2833}"/>
    <cellStyle name="Normal 8 3 2 2 2 3 3" xfId="5690" xr:uid="{00000000-0005-0000-0000-00003B1D0000}"/>
    <cellStyle name="Normal 8 3 2 2 2 3 3 2" xfId="14132" xr:uid="{A808541E-EA13-4F08-B8E0-0E46CDE7999A}"/>
    <cellStyle name="Normal 8 3 2 2 2 3 4" xfId="9914" xr:uid="{12067C88-AF2E-4E94-BCBF-77D509376FA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4F93470C-69FC-4243-8550-F1778BD5FDF6}"/>
    <cellStyle name="Normal 8 3 2 2 2 4 2 3" xfId="12472" xr:uid="{FAF71672-4FC6-4F85-B44F-5C6BD35B3768}"/>
    <cellStyle name="Normal 8 3 2 2 2 4 3" xfId="6103" xr:uid="{00000000-0005-0000-0000-00003F1D0000}"/>
    <cellStyle name="Normal 8 3 2 2 2 4 3 2" xfId="14545" xr:uid="{65894EC5-46E5-4BFD-9684-8F826ABFC783}"/>
    <cellStyle name="Normal 8 3 2 2 2 4 4" xfId="10327" xr:uid="{F4B88A08-7A32-4784-AC5E-1B2C015E089B}"/>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9FF6F641-E482-4B35-885A-F11FC74AFC97}"/>
    <cellStyle name="Normal 8 3 2 2 2 5 2 3" xfId="12885" xr:uid="{479708BF-6797-4588-86FC-77E46EE95903}"/>
    <cellStyle name="Normal 8 3 2 2 2 5 3" xfId="6516" xr:uid="{00000000-0005-0000-0000-0000431D0000}"/>
    <cellStyle name="Normal 8 3 2 2 2 5 3 2" xfId="14958" xr:uid="{8DAB2F5A-DBEC-4C9A-ADBE-57FD97ECFC28}"/>
    <cellStyle name="Normal 8 3 2 2 2 5 4" xfId="10740" xr:uid="{8BF8F4F2-467C-4720-B4B1-9F8618859068}"/>
    <cellStyle name="Normal 8 3 2 2 2 6" xfId="2645" xr:uid="{00000000-0005-0000-0000-0000441D0000}"/>
    <cellStyle name="Normal 8 3 2 2 2 6 2" xfId="6929" xr:uid="{00000000-0005-0000-0000-0000451D0000}"/>
    <cellStyle name="Normal 8 3 2 2 2 6 2 2" xfId="15371" xr:uid="{671C4796-AE01-4EB5-B73A-F3F96C418F3D}"/>
    <cellStyle name="Normal 8 3 2 2 2 6 3" xfId="11153" xr:uid="{60DE8134-E020-4DAB-8261-7187A4FDCDF8}"/>
    <cellStyle name="Normal 8 3 2 2 2 7" xfId="4864" xr:uid="{00000000-0005-0000-0000-0000461D0000}"/>
    <cellStyle name="Normal 8 3 2 2 2 7 2" xfId="13306" xr:uid="{AAD7917C-5D38-4218-B74B-53DDEB51D631}"/>
    <cellStyle name="Normal 8 3 2 2 2 8" xfId="9088" xr:uid="{39EF122B-D7B8-4ED3-99DB-FB0988C5C194}"/>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8873397B-D8F8-42E3-B37A-8F6EB29AE4E9}"/>
    <cellStyle name="Normal 8 3 2 2 3 2 3" xfId="11645" xr:uid="{C4374204-2860-4D98-A856-36C88B598F4B}"/>
    <cellStyle name="Normal 8 3 2 2 3 3" xfId="5276" xr:uid="{00000000-0005-0000-0000-00004A1D0000}"/>
    <cellStyle name="Normal 8 3 2 2 3 3 2" xfId="13718" xr:uid="{95011C43-F234-40B0-B72E-3952F8A4430A}"/>
    <cellStyle name="Normal 8 3 2 2 3 4" xfId="9500" xr:uid="{3471F856-9E57-4025-B2AA-83BE4ABAF6C7}"/>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ADAB0609-A6A9-4514-AABB-0B05E2DDA368}"/>
    <cellStyle name="Normal 8 3 2 2 4 2 3" xfId="12058" xr:uid="{FB14EADF-ADE2-4C9C-A4D4-F8891E1133F7}"/>
    <cellStyle name="Normal 8 3 2 2 4 3" xfId="5689" xr:uid="{00000000-0005-0000-0000-00004E1D0000}"/>
    <cellStyle name="Normal 8 3 2 2 4 3 2" xfId="14131" xr:uid="{15036FAB-8B55-4D5F-9086-45CF9460143A}"/>
    <cellStyle name="Normal 8 3 2 2 4 4" xfId="9913" xr:uid="{8F07B14D-07D2-4F50-B737-C46A4D94B64C}"/>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C1EA3C80-20ED-4BD1-AD96-C213FDED19D0}"/>
    <cellStyle name="Normal 8 3 2 2 5 2 3" xfId="12471" xr:uid="{7E23D454-CC2B-44C9-AB5C-3FBA6307EF24}"/>
    <cellStyle name="Normal 8 3 2 2 5 3" xfId="6102" xr:uid="{00000000-0005-0000-0000-0000521D0000}"/>
    <cellStyle name="Normal 8 3 2 2 5 3 2" xfId="14544" xr:uid="{2E7FCDE2-A9D0-4A0C-8044-D2735B272E68}"/>
    <cellStyle name="Normal 8 3 2 2 5 4" xfId="10326" xr:uid="{643616A6-76FF-4151-9E55-8337D89112CE}"/>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DAB963DF-FCCD-46F9-82D4-D7970E49E969}"/>
    <cellStyle name="Normal 8 3 2 2 6 2 3" xfId="12884" xr:uid="{4C6CCE51-0EBF-46AA-AE7B-2A264BD8F5DE}"/>
    <cellStyle name="Normal 8 3 2 2 6 3" xfId="6515" xr:uid="{00000000-0005-0000-0000-0000561D0000}"/>
    <cellStyle name="Normal 8 3 2 2 6 3 2" xfId="14957" xr:uid="{32FF57CD-E450-45FD-B8FB-CFEF7733169F}"/>
    <cellStyle name="Normal 8 3 2 2 6 4" xfId="10739" xr:uid="{35387420-9E17-41E6-90F1-C366E4548F12}"/>
    <cellStyle name="Normal 8 3 2 2 7" xfId="2644" xr:uid="{00000000-0005-0000-0000-0000571D0000}"/>
    <cellStyle name="Normal 8 3 2 2 7 2" xfId="6928" xr:uid="{00000000-0005-0000-0000-0000581D0000}"/>
    <cellStyle name="Normal 8 3 2 2 7 2 2" xfId="15370" xr:uid="{BC16A88B-8124-4343-99F8-00C882752545}"/>
    <cellStyle name="Normal 8 3 2 2 7 3" xfId="11152" xr:uid="{D56732AB-A820-42E0-A3E2-B981D19A4D11}"/>
    <cellStyle name="Normal 8 3 2 2 8" xfId="4863" xr:uid="{00000000-0005-0000-0000-0000591D0000}"/>
    <cellStyle name="Normal 8 3 2 2 8 2" xfId="13305" xr:uid="{462A2213-1CBC-4B57-A413-40E7F961ECD8}"/>
    <cellStyle name="Normal 8 3 2 2 9" xfId="9087" xr:uid="{BADBC855-2906-46C7-BE6C-2B8850A5D4DC}"/>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FFF2A352-248C-4292-BD99-BB4AAD4ADD72}"/>
    <cellStyle name="Normal 8 3 2 3 2 2 3" xfId="11647" xr:uid="{6E599EF1-2E82-4D7C-8495-85C52DEF084C}"/>
    <cellStyle name="Normal 8 3 2 3 2 3" xfId="5278" xr:uid="{00000000-0005-0000-0000-00005E1D0000}"/>
    <cellStyle name="Normal 8 3 2 3 2 3 2" xfId="13720" xr:uid="{2E5F8628-476D-4A71-92AF-9F5FB3DDA5EF}"/>
    <cellStyle name="Normal 8 3 2 3 2 4" xfId="9502" xr:uid="{2D8C8DC0-D568-4475-A476-8D97CDB3D27B}"/>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63E4A663-167A-4E11-9F90-60972907B599}"/>
    <cellStyle name="Normal 8 3 2 3 3 2 3" xfId="12060" xr:uid="{7255F1CC-E9CF-4A23-9589-1E139F77CF11}"/>
    <cellStyle name="Normal 8 3 2 3 3 3" xfId="5691" xr:uid="{00000000-0005-0000-0000-0000621D0000}"/>
    <cellStyle name="Normal 8 3 2 3 3 3 2" xfId="14133" xr:uid="{D988BAFE-3F9D-4344-A2DD-4AEF5BC7EEDC}"/>
    <cellStyle name="Normal 8 3 2 3 3 4" xfId="9915" xr:uid="{59B8240B-E418-4183-B57F-CC5844B1FB9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C8F6596B-1164-41BE-9641-2099AB0083D9}"/>
    <cellStyle name="Normal 8 3 2 3 4 2 3" xfId="12473" xr:uid="{763FAA23-D863-4EA1-A662-63EDB1F068DE}"/>
    <cellStyle name="Normal 8 3 2 3 4 3" xfId="6104" xr:uid="{00000000-0005-0000-0000-0000661D0000}"/>
    <cellStyle name="Normal 8 3 2 3 4 3 2" xfId="14546" xr:uid="{68AD86A5-BF9C-4F21-B7FA-FFF4947801D6}"/>
    <cellStyle name="Normal 8 3 2 3 4 4" xfId="10328" xr:uid="{02C5FAF7-74EF-457C-A02A-02275039D445}"/>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08C81162-0584-479B-AAD9-254D2BB56933}"/>
    <cellStyle name="Normal 8 3 2 3 5 2 3" xfId="12886" xr:uid="{041C705E-1277-483A-80F8-CD4E7394A2D0}"/>
    <cellStyle name="Normal 8 3 2 3 5 3" xfId="6517" xr:uid="{00000000-0005-0000-0000-00006A1D0000}"/>
    <cellStyle name="Normal 8 3 2 3 5 3 2" xfId="14959" xr:uid="{1A07A775-B3E1-4B27-AB50-A9C6769C3DEB}"/>
    <cellStyle name="Normal 8 3 2 3 5 4" xfId="10741" xr:uid="{D36E5DFF-0C63-4B93-8ADA-53684B554306}"/>
    <cellStyle name="Normal 8 3 2 3 6" xfId="2646" xr:uid="{00000000-0005-0000-0000-00006B1D0000}"/>
    <cellStyle name="Normal 8 3 2 3 6 2" xfId="6930" xr:uid="{00000000-0005-0000-0000-00006C1D0000}"/>
    <cellStyle name="Normal 8 3 2 3 6 2 2" xfId="15372" xr:uid="{F7F07946-899F-499C-8389-357CEBD9CE99}"/>
    <cellStyle name="Normal 8 3 2 3 6 3" xfId="11154" xr:uid="{C43044C8-9433-4CD3-893D-06FEAB6F72FA}"/>
    <cellStyle name="Normal 8 3 2 3 7" xfId="4865" xr:uid="{00000000-0005-0000-0000-00006D1D0000}"/>
    <cellStyle name="Normal 8 3 2 3 7 2" xfId="13307" xr:uid="{33A65276-BE9E-4E33-8A2C-107265795B9F}"/>
    <cellStyle name="Normal 8 3 2 3 8" xfId="9089" xr:uid="{0CD43F30-72A2-4D58-858D-05835F809296}"/>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4F9D4E26-DB51-4F22-B02A-075C86002819}"/>
    <cellStyle name="Normal 8 3 2 4 2 3" xfId="11644" xr:uid="{45D72E47-509E-4A24-BFAB-25FAFF8FA1D9}"/>
    <cellStyle name="Normal 8 3 2 4 3" xfId="5275" xr:uid="{00000000-0005-0000-0000-0000711D0000}"/>
    <cellStyle name="Normal 8 3 2 4 3 2" xfId="13717" xr:uid="{297AEEA8-C326-4D02-9E9E-7CC82085EECC}"/>
    <cellStyle name="Normal 8 3 2 4 4" xfId="9499" xr:uid="{3FD96D88-1D17-46AF-B88E-45DF694A5A8C}"/>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A491B768-EE8F-4074-A3AF-90C9F7625B40}"/>
    <cellStyle name="Normal 8 3 2 5 2 3" xfId="12057" xr:uid="{304D7A24-6E97-4A61-834B-6B0465E9B9BF}"/>
    <cellStyle name="Normal 8 3 2 5 3" xfId="5688" xr:uid="{00000000-0005-0000-0000-0000751D0000}"/>
    <cellStyle name="Normal 8 3 2 5 3 2" xfId="14130" xr:uid="{7EE1C7E6-0596-49A8-8BCA-280B143A753D}"/>
    <cellStyle name="Normal 8 3 2 5 4" xfId="9912" xr:uid="{409B8327-EE75-4B7E-88DD-9D659AF445C5}"/>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D9CE6BDE-C7DD-4ECA-BA9A-9AB9FE25C730}"/>
    <cellStyle name="Normal 8 3 2 6 2 3" xfId="12470" xr:uid="{A58805B5-68AE-48AA-B23E-D1AB6DE0B92E}"/>
    <cellStyle name="Normal 8 3 2 6 3" xfId="6101" xr:uid="{00000000-0005-0000-0000-0000791D0000}"/>
    <cellStyle name="Normal 8 3 2 6 3 2" xfId="14543" xr:uid="{5D8653DA-F820-4D3A-937B-49B8393ADB22}"/>
    <cellStyle name="Normal 8 3 2 6 4" xfId="10325" xr:uid="{A706D252-C5AA-43AF-BF43-CE56E893FC5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689A228F-9FE2-47DD-B24E-6D401268D790}"/>
    <cellStyle name="Normal 8 3 2 7 2 3" xfId="12883" xr:uid="{5C7F7AFA-1F6E-46AD-A37F-A40578628391}"/>
    <cellStyle name="Normal 8 3 2 7 3" xfId="6514" xr:uid="{00000000-0005-0000-0000-00007D1D0000}"/>
    <cellStyle name="Normal 8 3 2 7 3 2" xfId="14956" xr:uid="{E1F173C1-BED8-49BB-9F0C-BBDB2317C384}"/>
    <cellStyle name="Normal 8 3 2 7 4" xfId="10738" xr:uid="{A4C0DE17-69F2-4552-8AC0-E80CA8C79410}"/>
    <cellStyle name="Normal 8 3 2 8" xfId="2643" xr:uid="{00000000-0005-0000-0000-00007E1D0000}"/>
    <cellStyle name="Normal 8 3 2 8 2" xfId="6927" xr:uid="{00000000-0005-0000-0000-00007F1D0000}"/>
    <cellStyle name="Normal 8 3 2 8 2 2" xfId="15369" xr:uid="{36404D39-00DD-4AAD-93AC-0D3333C7AF1A}"/>
    <cellStyle name="Normal 8 3 2 8 3" xfId="11151" xr:uid="{CE16F4E3-5FBA-496B-A32A-8045B7E188A4}"/>
    <cellStyle name="Normal 8 3 2 9" xfId="4862" xr:uid="{00000000-0005-0000-0000-0000801D0000}"/>
    <cellStyle name="Normal 8 3 2 9 2" xfId="13304" xr:uid="{A49765E3-5313-4360-B798-6D7D9FDF2B9A}"/>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EB2593EB-5FA4-401F-8179-003801D95972}"/>
    <cellStyle name="Normal 8 3 3 2 2 2 3" xfId="11649" xr:uid="{40E3DFB1-B031-4747-A184-C68AB044C2E7}"/>
    <cellStyle name="Normal 8 3 3 2 2 3" xfId="5280" xr:uid="{00000000-0005-0000-0000-0000861D0000}"/>
    <cellStyle name="Normal 8 3 3 2 2 3 2" xfId="13722" xr:uid="{158FBD74-07A9-43D7-86C5-C3E3CAD7672B}"/>
    <cellStyle name="Normal 8 3 3 2 2 4" xfId="9504" xr:uid="{1F8A37FE-83D6-4566-BEB3-49726D72DD26}"/>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603906BE-23FB-4CAC-86C9-392EA5C85CFC}"/>
    <cellStyle name="Normal 8 3 3 2 3 2 3" xfId="12062" xr:uid="{A7264E99-AB0A-4DDA-9C53-F8151FF4F3D4}"/>
    <cellStyle name="Normal 8 3 3 2 3 3" xfId="5693" xr:uid="{00000000-0005-0000-0000-00008A1D0000}"/>
    <cellStyle name="Normal 8 3 3 2 3 3 2" xfId="14135" xr:uid="{8A30B265-8F94-433F-9870-F879E72AFB8B}"/>
    <cellStyle name="Normal 8 3 3 2 3 4" xfId="9917" xr:uid="{B337580E-048C-4AE4-AD9C-47AAAB00843F}"/>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52946C20-4808-4479-B59D-FDD1354D59BE}"/>
    <cellStyle name="Normal 8 3 3 2 4 2 3" xfId="12475" xr:uid="{DA74A419-6230-4149-9723-AF4ECF793F63}"/>
    <cellStyle name="Normal 8 3 3 2 4 3" xfId="6106" xr:uid="{00000000-0005-0000-0000-00008E1D0000}"/>
    <cellStyle name="Normal 8 3 3 2 4 3 2" xfId="14548" xr:uid="{615F045E-639D-4DF3-8F32-2FA0F2B884D8}"/>
    <cellStyle name="Normal 8 3 3 2 4 4" xfId="10330" xr:uid="{82BC0699-B0AC-4C39-AA66-7B13E28B9B5E}"/>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E8071B73-58F9-4253-B88F-CF47553DA150}"/>
    <cellStyle name="Normal 8 3 3 2 5 2 3" xfId="12888" xr:uid="{8A91A611-1751-4808-B9AC-FD7815D5623A}"/>
    <cellStyle name="Normal 8 3 3 2 5 3" xfId="6519" xr:uid="{00000000-0005-0000-0000-0000921D0000}"/>
    <cellStyle name="Normal 8 3 3 2 5 3 2" xfId="14961" xr:uid="{3F2F2166-096E-4660-93EE-E7960AE3E495}"/>
    <cellStyle name="Normal 8 3 3 2 5 4" xfId="10743" xr:uid="{884252F3-AFEC-4FE6-B1D8-48D7F410EBBD}"/>
    <cellStyle name="Normal 8 3 3 2 6" xfId="2648" xr:uid="{00000000-0005-0000-0000-0000931D0000}"/>
    <cellStyle name="Normal 8 3 3 2 6 2" xfId="6932" xr:uid="{00000000-0005-0000-0000-0000941D0000}"/>
    <cellStyle name="Normal 8 3 3 2 6 2 2" xfId="15374" xr:uid="{036AA71D-A5C2-4474-848E-09A8BBF3194D}"/>
    <cellStyle name="Normal 8 3 3 2 6 3" xfId="11156" xr:uid="{DCE03D64-AD0E-482B-82EC-66B47B80C2C9}"/>
    <cellStyle name="Normal 8 3 3 2 7" xfId="4867" xr:uid="{00000000-0005-0000-0000-0000951D0000}"/>
    <cellStyle name="Normal 8 3 3 2 7 2" xfId="13309" xr:uid="{54E6135F-C975-4ABC-85A0-42F3BBDA4492}"/>
    <cellStyle name="Normal 8 3 3 2 8" xfId="9091" xr:uid="{E03955D8-9DCA-46EA-A64B-B390601EB269}"/>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119C2FD7-4953-4E73-835E-61EC6F9F7BBE}"/>
    <cellStyle name="Normal 8 3 3 3 2 3" xfId="11648" xr:uid="{FF4A5571-F8FD-44F7-8886-E13A9FDAE97D}"/>
    <cellStyle name="Normal 8 3 3 3 3" xfId="5279" xr:uid="{00000000-0005-0000-0000-0000991D0000}"/>
    <cellStyle name="Normal 8 3 3 3 3 2" xfId="13721" xr:uid="{D6A7A823-9886-4272-B9A5-2A880530CB84}"/>
    <cellStyle name="Normal 8 3 3 3 4" xfId="9503" xr:uid="{F32C8E2B-C232-476B-ADF1-3170708A8BD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4F41385D-CE90-4481-A9B8-08FFA899FE2F}"/>
    <cellStyle name="Normal 8 3 3 4 2 3" xfId="12061" xr:uid="{2EC871F4-FF09-4389-886A-B02C702174AA}"/>
    <cellStyle name="Normal 8 3 3 4 3" xfId="5692" xr:uid="{00000000-0005-0000-0000-00009D1D0000}"/>
    <cellStyle name="Normal 8 3 3 4 3 2" xfId="14134" xr:uid="{C233553C-D2CB-4559-BC1C-A5D087DE6010}"/>
    <cellStyle name="Normal 8 3 3 4 4" xfId="9916" xr:uid="{EB30083D-BCEB-4309-8FA0-DE594F945647}"/>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C1FBB7D3-4CDA-4FD4-BEE6-8EA3A59F445B}"/>
    <cellStyle name="Normal 8 3 3 5 2 3" xfId="12474" xr:uid="{0E29FAA0-ABC7-4E60-9923-28754D222391}"/>
    <cellStyle name="Normal 8 3 3 5 3" xfId="6105" xr:uid="{00000000-0005-0000-0000-0000A11D0000}"/>
    <cellStyle name="Normal 8 3 3 5 3 2" xfId="14547" xr:uid="{32091A40-263A-4562-96C8-36D0469EE3F5}"/>
    <cellStyle name="Normal 8 3 3 5 4" xfId="10329" xr:uid="{8D8F06C2-55D8-4CC0-880F-1CC9C5F424B0}"/>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25227C07-1908-48EC-80BD-51F9B1530AA7}"/>
    <cellStyle name="Normal 8 3 3 6 2 3" xfId="12887" xr:uid="{05AA9583-ED2F-4D57-816C-B7832994A298}"/>
    <cellStyle name="Normal 8 3 3 6 3" xfId="6518" xr:uid="{00000000-0005-0000-0000-0000A51D0000}"/>
    <cellStyle name="Normal 8 3 3 6 3 2" xfId="14960" xr:uid="{D79694A5-2797-44D9-9826-56B0DB231AC5}"/>
    <cellStyle name="Normal 8 3 3 6 4" xfId="10742" xr:uid="{EF25871D-0D83-4F56-B537-EB2CED26179C}"/>
    <cellStyle name="Normal 8 3 3 7" xfId="2647" xr:uid="{00000000-0005-0000-0000-0000A61D0000}"/>
    <cellStyle name="Normal 8 3 3 7 2" xfId="6931" xr:uid="{00000000-0005-0000-0000-0000A71D0000}"/>
    <cellStyle name="Normal 8 3 3 7 2 2" xfId="15373" xr:uid="{12CF6927-BB0A-459E-AAFA-8E44ECB07A37}"/>
    <cellStyle name="Normal 8 3 3 7 3" xfId="11155" xr:uid="{76DC2A7A-FEB9-4793-A3A7-AB45CC4E7861}"/>
    <cellStyle name="Normal 8 3 3 8" xfId="4866" xr:uid="{00000000-0005-0000-0000-0000A81D0000}"/>
    <cellStyle name="Normal 8 3 3 8 2" xfId="13308" xr:uid="{685D5F5D-46E8-4F18-9AB9-8C82A20D68DA}"/>
    <cellStyle name="Normal 8 3 3 9" xfId="9090" xr:uid="{01F24A2A-62A4-48D1-85A0-E6FABD13748B}"/>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C135AA8A-3F0B-4FA9-A24C-00B0AE668FCC}"/>
    <cellStyle name="Normal 8 3 4 2 2 3" xfId="11650" xr:uid="{9E2006E6-4922-41A1-B12C-B14BF50F357F}"/>
    <cellStyle name="Normal 8 3 4 2 3" xfId="5281" xr:uid="{00000000-0005-0000-0000-0000AD1D0000}"/>
    <cellStyle name="Normal 8 3 4 2 3 2" xfId="13723" xr:uid="{41F658F1-5388-4ABA-B5BD-4503BB267BA5}"/>
    <cellStyle name="Normal 8 3 4 2 4" xfId="9505" xr:uid="{11D36554-8102-4F94-A7DB-8D97456F7FF4}"/>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F95E354C-F690-4D30-9D9B-7E8BC094ED68}"/>
    <cellStyle name="Normal 8 3 4 3 2 3" xfId="12063" xr:uid="{78424F43-DD8B-41AB-9C9C-5110379C3DE7}"/>
    <cellStyle name="Normal 8 3 4 3 3" xfId="5694" xr:uid="{00000000-0005-0000-0000-0000B11D0000}"/>
    <cellStyle name="Normal 8 3 4 3 3 2" xfId="14136" xr:uid="{24D61B36-2259-4683-8AB3-0294130FE5FF}"/>
    <cellStyle name="Normal 8 3 4 3 4" xfId="9918" xr:uid="{2D0B85BE-49B5-4645-8B3A-276F863CDA5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3DD6CC32-909A-4E7A-BC2D-FB51810DA338}"/>
    <cellStyle name="Normal 8 3 4 4 2 3" xfId="12476" xr:uid="{680BFEE5-EE04-445B-9E4B-64DB9AD2F3DD}"/>
    <cellStyle name="Normal 8 3 4 4 3" xfId="6107" xr:uid="{00000000-0005-0000-0000-0000B51D0000}"/>
    <cellStyle name="Normal 8 3 4 4 3 2" xfId="14549" xr:uid="{4C7D8679-0D4E-427E-AEF9-9990042632C6}"/>
    <cellStyle name="Normal 8 3 4 4 4" xfId="10331" xr:uid="{2B3F88E7-34D4-43E2-AA43-3E7982CD6437}"/>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D4B6DB9A-39A2-45A9-A743-046FF7DFFACA}"/>
    <cellStyle name="Normal 8 3 4 5 2 3" xfId="12889" xr:uid="{F5D0B61E-31CD-4947-B2C5-BA998E372F5D}"/>
    <cellStyle name="Normal 8 3 4 5 3" xfId="6520" xr:uid="{00000000-0005-0000-0000-0000B91D0000}"/>
    <cellStyle name="Normal 8 3 4 5 3 2" xfId="14962" xr:uid="{0316988C-B8F3-4DD9-8FA4-AAE9888F07EB}"/>
    <cellStyle name="Normal 8 3 4 5 4" xfId="10744" xr:uid="{86C8F22A-0F75-4C56-87EB-2988228C5730}"/>
    <cellStyle name="Normal 8 3 4 6" xfId="2649" xr:uid="{00000000-0005-0000-0000-0000BA1D0000}"/>
    <cellStyle name="Normal 8 3 4 6 2" xfId="6933" xr:uid="{00000000-0005-0000-0000-0000BB1D0000}"/>
    <cellStyle name="Normal 8 3 4 6 2 2" xfId="15375" xr:uid="{C2242619-ED96-48EE-9C50-3761C9854D2A}"/>
    <cellStyle name="Normal 8 3 4 6 3" xfId="11157" xr:uid="{4EEE3390-E41A-4C00-94C4-1B94FEE0BBD8}"/>
    <cellStyle name="Normal 8 3 4 7" xfId="4868" xr:uid="{00000000-0005-0000-0000-0000BC1D0000}"/>
    <cellStyle name="Normal 8 3 4 7 2" xfId="13310" xr:uid="{C48D618D-2181-445F-A36D-D8591D913B0F}"/>
    <cellStyle name="Normal 8 3 4 8" xfId="9092" xr:uid="{29F5766F-F1D6-4122-ACB9-860AE3B3EFC7}"/>
    <cellStyle name="Normal 8 3 5" xfId="962" xr:uid="{00000000-0005-0000-0000-0000BD1D0000}"/>
    <cellStyle name="Normal 8 3 5 2" xfId="3196" xr:uid="{00000000-0005-0000-0000-0000BE1D0000}"/>
    <cellStyle name="Normal 8 3 5 2 2" xfId="7419" xr:uid="{00000000-0005-0000-0000-0000BF1D0000}"/>
    <cellStyle name="Normal 8 3 5 2 2 2" xfId="15861" xr:uid="{66C3498F-3FAF-4FCD-A1A2-63577A10DF81}"/>
    <cellStyle name="Normal 8 3 5 2 3" xfId="11643" xr:uid="{4E7347CA-C4EC-476A-ABA3-4B5263DE4C8B}"/>
    <cellStyle name="Normal 8 3 5 3" xfId="5274" xr:uid="{00000000-0005-0000-0000-0000C01D0000}"/>
    <cellStyle name="Normal 8 3 5 3 2" xfId="13716" xr:uid="{CF6DBE63-8AE5-453B-8511-8240951ADBC9}"/>
    <cellStyle name="Normal 8 3 5 4" xfId="9498" xr:uid="{8110A886-0398-44D4-9E0C-30C0B60F10A6}"/>
    <cellStyle name="Normal 8 3 6" xfId="1379" xr:uid="{00000000-0005-0000-0000-0000C11D0000}"/>
    <cellStyle name="Normal 8 3 6 2" xfId="3609" xr:uid="{00000000-0005-0000-0000-0000C21D0000}"/>
    <cellStyle name="Normal 8 3 6 2 2" xfId="7832" xr:uid="{00000000-0005-0000-0000-0000C31D0000}"/>
    <cellStyle name="Normal 8 3 6 2 2 2" xfId="16274" xr:uid="{91D845C1-3811-4B7D-9D7B-340AD3758001}"/>
    <cellStyle name="Normal 8 3 6 2 3" xfId="12056" xr:uid="{6E0FB21B-302C-408C-AD4F-A6FF53AC72D3}"/>
    <cellStyle name="Normal 8 3 6 3" xfId="5687" xr:uid="{00000000-0005-0000-0000-0000C41D0000}"/>
    <cellStyle name="Normal 8 3 6 3 2" xfId="14129" xr:uid="{B98DCEC8-9A3E-46E1-AC8B-2B3D05BC5C87}"/>
    <cellStyle name="Normal 8 3 6 4" xfId="9911" xr:uid="{E94048AB-05F4-468A-A10C-DB227736E1F6}"/>
    <cellStyle name="Normal 8 3 7" xfId="1792" xr:uid="{00000000-0005-0000-0000-0000C51D0000}"/>
    <cellStyle name="Normal 8 3 7 2" xfId="4022" xr:uid="{00000000-0005-0000-0000-0000C61D0000}"/>
    <cellStyle name="Normal 8 3 7 2 2" xfId="8245" xr:uid="{00000000-0005-0000-0000-0000C71D0000}"/>
    <cellStyle name="Normal 8 3 7 2 2 2" xfId="16687" xr:uid="{564CC901-1D85-4965-B184-5B2BF06725D0}"/>
    <cellStyle name="Normal 8 3 7 2 3" xfId="12469" xr:uid="{BACAD17A-AE32-4502-AE3B-63F0A0659BD6}"/>
    <cellStyle name="Normal 8 3 7 3" xfId="6100" xr:uid="{00000000-0005-0000-0000-0000C81D0000}"/>
    <cellStyle name="Normal 8 3 7 3 2" xfId="14542" xr:uid="{49BA3A7F-1689-4E94-AE39-813DC2264E92}"/>
    <cellStyle name="Normal 8 3 7 4" xfId="10324" xr:uid="{0B179460-D787-49E3-BDF3-3328EFE9A2B3}"/>
    <cellStyle name="Normal 8 3 8" xfId="2206" xr:uid="{00000000-0005-0000-0000-0000C91D0000}"/>
    <cellStyle name="Normal 8 3 8 2" xfId="4435" xr:uid="{00000000-0005-0000-0000-0000CA1D0000}"/>
    <cellStyle name="Normal 8 3 8 2 2" xfId="8658" xr:uid="{00000000-0005-0000-0000-0000CB1D0000}"/>
    <cellStyle name="Normal 8 3 8 2 2 2" xfId="17100" xr:uid="{3ED691CB-237F-4220-8EC3-757BBA0DF483}"/>
    <cellStyle name="Normal 8 3 8 2 3" xfId="12882" xr:uid="{368CFAE5-E36D-4B6E-B65A-86C616087480}"/>
    <cellStyle name="Normal 8 3 8 3" xfId="6513" xr:uid="{00000000-0005-0000-0000-0000CC1D0000}"/>
    <cellStyle name="Normal 8 3 8 3 2" xfId="14955" xr:uid="{4A3B9DFE-29CF-4231-9667-1001FC273BBE}"/>
    <cellStyle name="Normal 8 3 8 4" xfId="10737" xr:uid="{A1BC8490-2EC3-45D4-8A8A-CB36943D9F55}"/>
    <cellStyle name="Normal 8 3 9" xfId="2642" xr:uid="{00000000-0005-0000-0000-0000CD1D0000}"/>
    <cellStyle name="Normal 8 3 9 2" xfId="6926" xr:uid="{00000000-0005-0000-0000-0000CE1D0000}"/>
    <cellStyle name="Normal 8 3 9 2 2" xfId="15368" xr:uid="{D711D8DC-8483-441E-AA4B-998B73A9CCEA}"/>
    <cellStyle name="Normal 8 3 9 3" xfId="11150" xr:uid="{2E854127-1CFD-47DB-A6F7-EEFD03D90599}"/>
    <cellStyle name="Normal 8 4" xfId="503" xr:uid="{00000000-0005-0000-0000-0000CF1D0000}"/>
    <cellStyle name="Normal 8 4 10" xfId="9093" xr:uid="{561E60DF-81C3-4E3C-99E6-71655678C4AB}"/>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35493370-9944-44A0-8153-A71EA4670E7E}"/>
    <cellStyle name="Normal 8 4 2 2 2 2 3" xfId="11653" xr:uid="{FA95ED9B-770F-4232-BEB0-BEC805C4CB3F}"/>
    <cellStyle name="Normal 8 4 2 2 2 3" xfId="5284" xr:uid="{00000000-0005-0000-0000-0000D51D0000}"/>
    <cellStyle name="Normal 8 4 2 2 2 3 2" xfId="13726" xr:uid="{AE0907CB-C6E6-4C21-A215-C79940925A25}"/>
    <cellStyle name="Normal 8 4 2 2 2 4" xfId="9508" xr:uid="{F3F6874C-37CB-4CA3-8BD1-E3A2C2E8387A}"/>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D8242B7-0980-49F3-85EB-9223CE5D34A3}"/>
    <cellStyle name="Normal 8 4 2 2 3 2 3" xfId="12066" xr:uid="{201D4AE9-6D3F-4B66-B681-30EBA3120367}"/>
    <cellStyle name="Normal 8 4 2 2 3 3" xfId="5697" xr:uid="{00000000-0005-0000-0000-0000D91D0000}"/>
    <cellStyle name="Normal 8 4 2 2 3 3 2" xfId="14139" xr:uid="{609120A6-B809-48D0-857E-C9064A5A0C2D}"/>
    <cellStyle name="Normal 8 4 2 2 3 4" xfId="9921" xr:uid="{40BCF1F3-1AA3-425F-AF4B-EAC13C482095}"/>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53B554A5-697E-4859-B2C0-E615A59D3311}"/>
    <cellStyle name="Normal 8 4 2 2 4 2 3" xfId="12479" xr:uid="{DBADA4C8-21C2-4857-8FE1-A237D5238F7F}"/>
    <cellStyle name="Normal 8 4 2 2 4 3" xfId="6110" xr:uid="{00000000-0005-0000-0000-0000DD1D0000}"/>
    <cellStyle name="Normal 8 4 2 2 4 3 2" xfId="14552" xr:uid="{39535360-63FA-4796-9027-CA80B2D6BFBE}"/>
    <cellStyle name="Normal 8 4 2 2 4 4" xfId="10334" xr:uid="{540FB480-725D-4BBE-8876-913F272AE4B1}"/>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37DA6847-9CE1-4DB6-9C43-1EEFCEA626D9}"/>
    <cellStyle name="Normal 8 4 2 2 5 2 3" xfId="12892" xr:uid="{C3FE6B24-43C9-42E8-9854-E4069346A5C3}"/>
    <cellStyle name="Normal 8 4 2 2 5 3" xfId="6523" xr:uid="{00000000-0005-0000-0000-0000E11D0000}"/>
    <cellStyle name="Normal 8 4 2 2 5 3 2" xfId="14965" xr:uid="{5F203316-F103-4530-9B5C-48305CC62DFE}"/>
    <cellStyle name="Normal 8 4 2 2 5 4" xfId="10747" xr:uid="{6FB091B0-864D-4D13-B89F-8EC2D92FB413}"/>
    <cellStyle name="Normal 8 4 2 2 6" xfId="2652" xr:uid="{00000000-0005-0000-0000-0000E21D0000}"/>
    <cellStyle name="Normal 8 4 2 2 6 2" xfId="6936" xr:uid="{00000000-0005-0000-0000-0000E31D0000}"/>
    <cellStyle name="Normal 8 4 2 2 6 2 2" xfId="15378" xr:uid="{7CFCA743-7384-4F74-AAB0-AC3563DAB119}"/>
    <cellStyle name="Normal 8 4 2 2 6 3" xfId="11160" xr:uid="{E3AF82AA-B30A-48F5-A359-7364976DF500}"/>
    <cellStyle name="Normal 8 4 2 2 7" xfId="4871" xr:uid="{00000000-0005-0000-0000-0000E41D0000}"/>
    <cellStyle name="Normal 8 4 2 2 7 2" xfId="13313" xr:uid="{EC5414C4-692B-41E7-B3AA-AFB613B591F5}"/>
    <cellStyle name="Normal 8 4 2 2 8" xfId="9095" xr:uid="{9E7BDA95-0C61-44EA-B437-1196C46A4469}"/>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19C4E25A-32EA-4FEB-8515-AD66AA9C0028}"/>
    <cellStyle name="Normal 8 4 2 3 2 3" xfId="11652" xr:uid="{DBB41305-933C-4621-8338-9E0A041D6042}"/>
    <cellStyle name="Normal 8 4 2 3 3" xfId="5283" xr:uid="{00000000-0005-0000-0000-0000E81D0000}"/>
    <cellStyle name="Normal 8 4 2 3 3 2" xfId="13725" xr:uid="{BADD970D-498B-4431-9D05-31AF74F4CB39}"/>
    <cellStyle name="Normal 8 4 2 3 4" xfId="9507" xr:uid="{3CB48F82-7902-493A-8C1B-AA7B5EA82B0F}"/>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A1BF07CF-1EA1-4EC2-86CA-AF3B750FA951}"/>
    <cellStyle name="Normal 8 4 2 4 2 3" xfId="12065" xr:uid="{BAF764E2-ADC0-4727-B1B9-3298F7009DA2}"/>
    <cellStyle name="Normal 8 4 2 4 3" xfId="5696" xr:uid="{00000000-0005-0000-0000-0000EC1D0000}"/>
    <cellStyle name="Normal 8 4 2 4 3 2" xfId="14138" xr:uid="{6C77651D-8A0F-47A0-B34B-73EEDFCD157E}"/>
    <cellStyle name="Normal 8 4 2 4 4" xfId="9920" xr:uid="{77A15F5C-0358-4A98-BB0C-CDA51C1D6287}"/>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363C7C82-8BAA-46D0-BADB-866083E2C1F2}"/>
    <cellStyle name="Normal 8 4 2 5 2 3" xfId="12478" xr:uid="{6F2B55FD-79A2-45A3-97CB-1C928D328D58}"/>
    <cellStyle name="Normal 8 4 2 5 3" xfId="6109" xr:uid="{00000000-0005-0000-0000-0000F01D0000}"/>
    <cellStyle name="Normal 8 4 2 5 3 2" xfId="14551" xr:uid="{E691EAA7-B893-45C6-90F8-A6F164B836FE}"/>
    <cellStyle name="Normal 8 4 2 5 4" xfId="10333" xr:uid="{E668C53A-F7D7-47ED-A2AC-389F289736BA}"/>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B3D07973-8FBE-4FD1-8E2E-779EB3E7DBE6}"/>
    <cellStyle name="Normal 8 4 2 6 2 3" xfId="12891" xr:uid="{FF4D8C6F-440F-4248-93DA-98EA0B9E25E2}"/>
    <cellStyle name="Normal 8 4 2 6 3" xfId="6522" xr:uid="{00000000-0005-0000-0000-0000F41D0000}"/>
    <cellStyle name="Normal 8 4 2 6 3 2" xfId="14964" xr:uid="{AE385A4E-B840-46C3-B2B7-355523BB0C81}"/>
    <cellStyle name="Normal 8 4 2 6 4" xfId="10746" xr:uid="{302342DA-56F9-45F6-8B2B-4197C913A34C}"/>
    <cellStyle name="Normal 8 4 2 7" xfId="2651" xr:uid="{00000000-0005-0000-0000-0000F51D0000}"/>
    <cellStyle name="Normal 8 4 2 7 2" xfId="6935" xr:uid="{00000000-0005-0000-0000-0000F61D0000}"/>
    <cellStyle name="Normal 8 4 2 7 2 2" xfId="15377" xr:uid="{2DA49543-BFF0-45F2-B4AC-6380A9A6437E}"/>
    <cellStyle name="Normal 8 4 2 7 3" xfId="11159" xr:uid="{3179014E-D24E-4310-B6F1-FFA603343A2A}"/>
    <cellStyle name="Normal 8 4 2 8" xfId="4870" xr:uid="{00000000-0005-0000-0000-0000F71D0000}"/>
    <cellStyle name="Normal 8 4 2 8 2" xfId="13312" xr:uid="{DE334F37-1993-4579-9265-68975CAE376A}"/>
    <cellStyle name="Normal 8 4 2 9" xfId="9094" xr:uid="{ABC0E225-49BB-4E21-802A-8EE59A73CF3F}"/>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906A259D-D865-4938-BF89-877750FBDC4F}"/>
    <cellStyle name="Normal 8 4 3 2 2 3" xfId="11654" xr:uid="{D9A04FDF-308A-4CFD-95CF-E716AB51099A}"/>
    <cellStyle name="Normal 8 4 3 2 3" xfId="5285" xr:uid="{00000000-0005-0000-0000-0000FC1D0000}"/>
    <cellStyle name="Normal 8 4 3 2 3 2" xfId="13727" xr:uid="{36AADF95-D992-4B69-948D-25813113FDC1}"/>
    <cellStyle name="Normal 8 4 3 2 4" xfId="9509" xr:uid="{1EA8105C-00B1-4B69-B0CB-D0D7030B94A1}"/>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3339861D-6D62-42D1-A1A5-316095DA7904}"/>
    <cellStyle name="Normal 8 4 3 3 2 3" xfId="12067" xr:uid="{14ED5E51-45F5-4BCF-861A-4F272E162976}"/>
    <cellStyle name="Normal 8 4 3 3 3" xfId="5698" xr:uid="{00000000-0005-0000-0000-0000001E0000}"/>
    <cellStyle name="Normal 8 4 3 3 3 2" xfId="14140" xr:uid="{C978D26A-B260-47A8-B1DD-874957752557}"/>
    <cellStyle name="Normal 8 4 3 3 4" xfId="9922" xr:uid="{A4EFFFC6-E8D6-452A-910A-D53899E3BC2C}"/>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DC4BB59B-553C-46FF-BF7A-40B3F2DDC7BD}"/>
    <cellStyle name="Normal 8 4 3 4 2 3" xfId="12480" xr:uid="{87D87E95-ED46-4919-9024-909DF15A0AFF}"/>
    <cellStyle name="Normal 8 4 3 4 3" xfId="6111" xr:uid="{00000000-0005-0000-0000-0000041E0000}"/>
    <cellStyle name="Normal 8 4 3 4 3 2" xfId="14553" xr:uid="{F4D9AD2E-414D-4361-B8F5-7361BC279A3C}"/>
    <cellStyle name="Normal 8 4 3 4 4" xfId="10335" xr:uid="{C50D38DA-E651-44F2-AE50-E1BF94EC698F}"/>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5BEF102-EC4A-48F7-B2C6-EB7CCBC5751C}"/>
    <cellStyle name="Normal 8 4 3 5 2 3" xfId="12893" xr:uid="{E9332E09-70C7-411C-BEFA-DCFC30193212}"/>
    <cellStyle name="Normal 8 4 3 5 3" xfId="6524" xr:uid="{00000000-0005-0000-0000-0000081E0000}"/>
    <cellStyle name="Normal 8 4 3 5 3 2" xfId="14966" xr:uid="{BC76813D-59DE-42B4-82FC-E9FB0D0CBED5}"/>
    <cellStyle name="Normal 8 4 3 5 4" xfId="10748" xr:uid="{9155D711-EEED-40AA-8A1E-BCF34963B541}"/>
    <cellStyle name="Normal 8 4 3 6" xfId="2653" xr:uid="{00000000-0005-0000-0000-0000091E0000}"/>
    <cellStyle name="Normal 8 4 3 6 2" xfId="6937" xr:uid="{00000000-0005-0000-0000-00000A1E0000}"/>
    <cellStyle name="Normal 8 4 3 6 2 2" xfId="15379" xr:uid="{9CE82419-01E9-4873-90DB-CA28AE2A0ED1}"/>
    <cellStyle name="Normal 8 4 3 6 3" xfId="11161" xr:uid="{B7D91F76-0C70-45C4-A603-87B0EC2B0A5F}"/>
    <cellStyle name="Normal 8 4 3 7" xfId="4872" xr:uid="{00000000-0005-0000-0000-00000B1E0000}"/>
    <cellStyle name="Normal 8 4 3 7 2" xfId="13314" xr:uid="{4BE60F8E-A858-49B4-893E-F422D892A766}"/>
    <cellStyle name="Normal 8 4 3 8" xfId="9096" xr:uid="{88CA876E-6B55-4D68-95A6-FFDDB01D82A4}"/>
    <cellStyle name="Normal 8 4 4" xfId="970" xr:uid="{00000000-0005-0000-0000-00000C1E0000}"/>
    <cellStyle name="Normal 8 4 4 2" xfId="3204" xr:uid="{00000000-0005-0000-0000-00000D1E0000}"/>
    <cellStyle name="Normal 8 4 4 2 2" xfId="7427" xr:uid="{00000000-0005-0000-0000-00000E1E0000}"/>
    <cellStyle name="Normal 8 4 4 2 2 2" xfId="15869" xr:uid="{B6172086-908F-4905-95C4-90591D991A1D}"/>
    <cellStyle name="Normal 8 4 4 2 3" xfId="11651" xr:uid="{5CC18511-073D-42C2-9CF7-F678D0BD532B}"/>
    <cellStyle name="Normal 8 4 4 3" xfId="5282" xr:uid="{00000000-0005-0000-0000-00000F1E0000}"/>
    <cellStyle name="Normal 8 4 4 3 2" xfId="13724" xr:uid="{4BE18C65-D363-48E3-AADB-9585384CBA42}"/>
    <cellStyle name="Normal 8 4 4 4" xfId="9506" xr:uid="{9C4C1096-1766-46C1-AABB-648F67398B8D}"/>
    <cellStyle name="Normal 8 4 5" xfId="1387" xr:uid="{00000000-0005-0000-0000-0000101E0000}"/>
    <cellStyle name="Normal 8 4 5 2" xfId="3617" xr:uid="{00000000-0005-0000-0000-0000111E0000}"/>
    <cellStyle name="Normal 8 4 5 2 2" xfId="7840" xr:uid="{00000000-0005-0000-0000-0000121E0000}"/>
    <cellStyle name="Normal 8 4 5 2 2 2" xfId="16282" xr:uid="{BC0D89A3-B8AD-4BF5-9800-D1A2D50DCD3F}"/>
    <cellStyle name="Normal 8 4 5 2 3" xfId="12064" xr:uid="{3EED7BC1-AD78-440E-BD71-93DB4DC3AFFF}"/>
    <cellStyle name="Normal 8 4 5 3" xfId="5695" xr:uid="{00000000-0005-0000-0000-0000131E0000}"/>
    <cellStyle name="Normal 8 4 5 3 2" xfId="14137" xr:uid="{27512895-BA14-4345-B0F0-F8D8D7903E75}"/>
    <cellStyle name="Normal 8 4 5 4" xfId="9919" xr:uid="{95925ADA-CD9B-451C-A047-0673FBFE9CF7}"/>
    <cellStyle name="Normal 8 4 6" xfId="1800" xr:uid="{00000000-0005-0000-0000-0000141E0000}"/>
    <cellStyle name="Normal 8 4 6 2" xfId="4030" xr:uid="{00000000-0005-0000-0000-0000151E0000}"/>
    <cellStyle name="Normal 8 4 6 2 2" xfId="8253" xr:uid="{00000000-0005-0000-0000-0000161E0000}"/>
    <cellStyle name="Normal 8 4 6 2 2 2" xfId="16695" xr:uid="{9F32A3F6-5CC4-470C-9EC0-E9C483879EA8}"/>
    <cellStyle name="Normal 8 4 6 2 3" xfId="12477" xr:uid="{BC0911A8-44D0-46FA-89F8-CD2180E3304C}"/>
    <cellStyle name="Normal 8 4 6 3" xfId="6108" xr:uid="{00000000-0005-0000-0000-0000171E0000}"/>
    <cellStyle name="Normal 8 4 6 3 2" xfId="14550" xr:uid="{FC724CF3-7561-4E42-A689-A37AAACDCB9B}"/>
    <cellStyle name="Normal 8 4 6 4" xfId="10332" xr:uid="{ED746D19-E3BF-44BA-B6B9-F6F6A3E1DB07}"/>
    <cellStyle name="Normal 8 4 7" xfId="2214" xr:uid="{00000000-0005-0000-0000-0000181E0000}"/>
    <cellStyle name="Normal 8 4 7 2" xfId="4443" xr:uid="{00000000-0005-0000-0000-0000191E0000}"/>
    <cellStyle name="Normal 8 4 7 2 2" xfId="8666" xr:uid="{00000000-0005-0000-0000-00001A1E0000}"/>
    <cellStyle name="Normal 8 4 7 2 2 2" xfId="17108" xr:uid="{7D22FCEA-7B24-4176-81E4-DD7E4FA38AEB}"/>
    <cellStyle name="Normal 8 4 7 2 3" xfId="12890" xr:uid="{E716A096-9AEB-48F4-BC57-7EFA831FFD5F}"/>
    <cellStyle name="Normal 8 4 7 3" xfId="6521" xr:uid="{00000000-0005-0000-0000-00001B1E0000}"/>
    <cellStyle name="Normal 8 4 7 3 2" xfId="14963" xr:uid="{FAE0F930-4FBF-49A3-8AC4-577AACCF9647}"/>
    <cellStyle name="Normal 8 4 7 4" xfId="10745" xr:uid="{0439A8FD-8C46-48E0-8A8C-ACBC85503A5A}"/>
    <cellStyle name="Normal 8 4 8" xfId="2650" xr:uid="{00000000-0005-0000-0000-00001C1E0000}"/>
    <cellStyle name="Normal 8 4 8 2" xfId="6934" xr:uid="{00000000-0005-0000-0000-00001D1E0000}"/>
    <cellStyle name="Normal 8 4 8 2 2" xfId="15376" xr:uid="{31A14A0E-5E6D-44C9-8255-35D9E80FDB69}"/>
    <cellStyle name="Normal 8 4 8 3" xfId="11158" xr:uid="{DA4EFCA8-B34D-4064-A2F3-77A80BF41A9E}"/>
    <cellStyle name="Normal 8 4 9" xfId="4869" xr:uid="{00000000-0005-0000-0000-00001E1E0000}"/>
    <cellStyle name="Normal 8 4 9 2" xfId="13311" xr:uid="{178487EC-063D-4CB2-92F9-EA85190140E9}"/>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49A9B245-9E2B-4CD2-B46B-567237B0708C}"/>
    <cellStyle name="Normal 8 5 2 2 2 3" xfId="11656" xr:uid="{C91FC606-011B-49EE-AF11-54E37D85B857}"/>
    <cellStyle name="Normal 8 5 2 2 3" xfId="5287" xr:uid="{00000000-0005-0000-0000-0000241E0000}"/>
    <cellStyle name="Normal 8 5 2 2 3 2" xfId="13729" xr:uid="{0DD46543-A565-427C-B9DC-EBF26A98E573}"/>
    <cellStyle name="Normal 8 5 2 2 4" xfId="9511" xr:uid="{75710BB0-047E-411B-AAF4-6C0D7FBCD66B}"/>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53843F13-3AB7-442F-B5AC-75E3AF3D3D6A}"/>
    <cellStyle name="Normal 8 5 2 3 2 3" xfId="12069" xr:uid="{72280180-3013-4A89-AA3D-6A76D3DE47AB}"/>
    <cellStyle name="Normal 8 5 2 3 3" xfId="5700" xr:uid="{00000000-0005-0000-0000-0000281E0000}"/>
    <cellStyle name="Normal 8 5 2 3 3 2" xfId="14142" xr:uid="{D8C60E7A-B84F-46D4-9494-8B9A71A7A417}"/>
    <cellStyle name="Normal 8 5 2 3 4" xfId="9924" xr:uid="{17E7BEA1-A085-4179-9495-2BA875A1B902}"/>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126330B-199B-460D-9F59-25CC2349912A}"/>
    <cellStyle name="Normal 8 5 2 4 2 3" xfId="12482" xr:uid="{95065ADB-8599-45E3-AF93-8E3356C5891D}"/>
    <cellStyle name="Normal 8 5 2 4 3" xfId="6113" xr:uid="{00000000-0005-0000-0000-00002C1E0000}"/>
    <cellStyle name="Normal 8 5 2 4 3 2" xfId="14555" xr:uid="{721B035F-CECE-4EA4-AA8C-3487315733BB}"/>
    <cellStyle name="Normal 8 5 2 4 4" xfId="10337" xr:uid="{157C0B09-04C0-4992-9E03-74ED9ECC82E0}"/>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483B1D92-834B-4E92-BA39-3BD9735487D3}"/>
    <cellStyle name="Normal 8 5 2 5 2 3" xfId="12895" xr:uid="{E1678174-849D-462B-880F-8B8D8BBA93D6}"/>
    <cellStyle name="Normal 8 5 2 5 3" xfId="6526" xr:uid="{00000000-0005-0000-0000-0000301E0000}"/>
    <cellStyle name="Normal 8 5 2 5 3 2" xfId="14968" xr:uid="{A8919E9C-FB15-4849-AB23-F33AC2B5A0FC}"/>
    <cellStyle name="Normal 8 5 2 5 4" xfId="10750" xr:uid="{B81127D0-D579-42D1-9D24-954C8EE30F59}"/>
    <cellStyle name="Normal 8 5 2 6" xfId="2655" xr:uid="{00000000-0005-0000-0000-0000311E0000}"/>
    <cellStyle name="Normal 8 5 2 6 2" xfId="6939" xr:uid="{00000000-0005-0000-0000-0000321E0000}"/>
    <cellStyle name="Normal 8 5 2 6 2 2" xfId="15381" xr:uid="{16187F27-74A2-4D1D-B2D2-2F38060542B6}"/>
    <cellStyle name="Normal 8 5 2 6 3" xfId="11163" xr:uid="{3EB12157-C7BF-4D9C-A5D2-51DA33E0555B}"/>
    <cellStyle name="Normal 8 5 2 7" xfId="4874" xr:uid="{00000000-0005-0000-0000-0000331E0000}"/>
    <cellStyle name="Normal 8 5 2 7 2" xfId="13316" xr:uid="{0294FF36-A248-4C16-9E6A-71BA4ABC0CF0}"/>
    <cellStyle name="Normal 8 5 2 8" xfId="9098" xr:uid="{29D47575-A1B9-436F-AE11-E5CFD4EAA662}"/>
    <cellStyle name="Normal 8 5 3" xfId="974" xr:uid="{00000000-0005-0000-0000-0000341E0000}"/>
    <cellStyle name="Normal 8 5 3 2" xfId="3208" xr:uid="{00000000-0005-0000-0000-0000351E0000}"/>
    <cellStyle name="Normal 8 5 3 2 2" xfId="7431" xr:uid="{00000000-0005-0000-0000-0000361E0000}"/>
    <cellStyle name="Normal 8 5 3 2 2 2" xfId="15873" xr:uid="{095A83DF-4AF5-45EE-82F9-3A854448C3ED}"/>
    <cellStyle name="Normal 8 5 3 2 3" xfId="11655" xr:uid="{EDEA0FDC-BE8C-4224-A37C-9CC939B35672}"/>
    <cellStyle name="Normal 8 5 3 3" xfId="5286" xr:uid="{00000000-0005-0000-0000-0000371E0000}"/>
    <cellStyle name="Normal 8 5 3 3 2" xfId="13728" xr:uid="{69309C25-55F4-4CF1-BF4F-0F5F55DF07D2}"/>
    <cellStyle name="Normal 8 5 3 4" xfId="9510" xr:uid="{96D49E40-554E-4D46-A878-C260B5F1A828}"/>
    <cellStyle name="Normal 8 5 4" xfId="1391" xr:uid="{00000000-0005-0000-0000-0000381E0000}"/>
    <cellStyle name="Normal 8 5 4 2" xfId="3621" xr:uid="{00000000-0005-0000-0000-0000391E0000}"/>
    <cellStyle name="Normal 8 5 4 2 2" xfId="7844" xr:uid="{00000000-0005-0000-0000-00003A1E0000}"/>
    <cellStyle name="Normal 8 5 4 2 2 2" xfId="16286" xr:uid="{95F6E3A9-983E-46BE-B075-AE96D42802B0}"/>
    <cellStyle name="Normal 8 5 4 2 3" xfId="12068" xr:uid="{0E5D6588-E170-4D18-A346-CB21235927A0}"/>
    <cellStyle name="Normal 8 5 4 3" xfId="5699" xr:uid="{00000000-0005-0000-0000-00003B1E0000}"/>
    <cellStyle name="Normal 8 5 4 3 2" xfId="14141" xr:uid="{337554AE-4BC3-437B-89E7-5B5E743EB1AB}"/>
    <cellStyle name="Normal 8 5 4 4" xfId="9923" xr:uid="{211C361F-3CC8-445E-B2BF-EB1C5A7DFB8C}"/>
    <cellStyle name="Normal 8 5 5" xfId="1804" xr:uid="{00000000-0005-0000-0000-00003C1E0000}"/>
    <cellStyle name="Normal 8 5 5 2" xfId="4034" xr:uid="{00000000-0005-0000-0000-00003D1E0000}"/>
    <cellStyle name="Normal 8 5 5 2 2" xfId="8257" xr:uid="{00000000-0005-0000-0000-00003E1E0000}"/>
    <cellStyle name="Normal 8 5 5 2 2 2" xfId="16699" xr:uid="{7AC2D2C2-F121-4C73-8625-FDD0C891C67D}"/>
    <cellStyle name="Normal 8 5 5 2 3" xfId="12481" xr:uid="{1377EE44-3121-45F8-B4E5-A175FC46DD86}"/>
    <cellStyle name="Normal 8 5 5 3" xfId="6112" xr:uid="{00000000-0005-0000-0000-00003F1E0000}"/>
    <cellStyle name="Normal 8 5 5 3 2" xfId="14554" xr:uid="{AC7914B1-5540-4791-BDE2-A49DC6FEE7DD}"/>
    <cellStyle name="Normal 8 5 5 4" xfId="10336" xr:uid="{5BC4BFE1-673D-4EDA-BCF2-DCEAF109A6CB}"/>
    <cellStyle name="Normal 8 5 6" xfId="2218" xr:uid="{00000000-0005-0000-0000-0000401E0000}"/>
    <cellStyle name="Normal 8 5 6 2" xfId="4447" xr:uid="{00000000-0005-0000-0000-0000411E0000}"/>
    <cellStyle name="Normal 8 5 6 2 2" xfId="8670" xr:uid="{00000000-0005-0000-0000-0000421E0000}"/>
    <cellStyle name="Normal 8 5 6 2 2 2" xfId="17112" xr:uid="{EB93C88D-27D8-4DC0-8486-D2FD163A63D9}"/>
    <cellStyle name="Normal 8 5 6 2 3" xfId="12894" xr:uid="{3E0BDC5E-5583-4681-85B1-02F86BB4D33D}"/>
    <cellStyle name="Normal 8 5 6 3" xfId="6525" xr:uid="{00000000-0005-0000-0000-0000431E0000}"/>
    <cellStyle name="Normal 8 5 6 3 2" xfId="14967" xr:uid="{50828685-D323-4ED1-830B-4AB5B1D069FB}"/>
    <cellStyle name="Normal 8 5 6 4" xfId="10749" xr:uid="{345091FD-9FBE-4AFC-A8C0-6CDC2E63BC52}"/>
    <cellStyle name="Normal 8 5 7" xfId="2654" xr:uid="{00000000-0005-0000-0000-0000441E0000}"/>
    <cellStyle name="Normal 8 5 7 2" xfId="6938" xr:uid="{00000000-0005-0000-0000-0000451E0000}"/>
    <cellStyle name="Normal 8 5 7 2 2" xfId="15380" xr:uid="{C31EF8FE-3E99-49A7-9F5D-9A41D190F0EC}"/>
    <cellStyle name="Normal 8 5 7 3" xfId="11162" xr:uid="{89D91CB0-0A7A-4CD7-A2BA-EEAC16DAFAA0}"/>
    <cellStyle name="Normal 8 5 8" xfId="4873" xr:uid="{00000000-0005-0000-0000-0000461E0000}"/>
    <cellStyle name="Normal 8 5 8 2" xfId="13315" xr:uid="{638594F4-45C9-4184-A8E2-33AEC29F1993}"/>
    <cellStyle name="Normal 8 5 9" xfId="9097" xr:uid="{A4118D32-54F1-48EF-B8CB-BF298E203942}"/>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E1D8201A-FD80-4010-A095-DBB9B51D42E1}"/>
    <cellStyle name="Normal 8 6 2 2 3" xfId="11657" xr:uid="{76C143E0-B626-44BA-AD6A-4788AE153EA3}"/>
    <cellStyle name="Normal 8 6 2 3" xfId="5288" xr:uid="{00000000-0005-0000-0000-00004B1E0000}"/>
    <cellStyle name="Normal 8 6 2 3 2" xfId="13730" xr:uid="{7CE89DE5-8243-4E92-ABD9-3065533C5022}"/>
    <cellStyle name="Normal 8 6 2 4" xfId="9512" xr:uid="{73D183B4-8B32-4262-886B-AB49A2633EE4}"/>
    <cellStyle name="Normal 8 6 3" xfId="1393" xr:uid="{00000000-0005-0000-0000-00004C1E0000}"/>
    <cellStyle name="Normal 8 6 3 2" xfId="3623" xr:uid="{00000000-0005-0000-0000-00004D1E0000}"/>
    <cellStyle name="Normal 8 6 3 2 2" xfId="7846" xr:uid="{00000000-0005-0000-0000-00004E1E0000}"/>
    <cellStyle name="Normal 8 6 3 2 2 2" xfId="16288" xr:uid="{EB3AA412-69FE-45A4-A0D9-99F3BE9601C4}"/>
    <cellStyle name="Normal 8 6 3 2 3" xfId="12070" xr:uid="{88184085-5EEA-4012-9BCD-F0ABC5AAB5BB}"/>
    <cellStyle name="Normal 8 6 3 3" xfId="5701" xr:uid="{00000000-0005-0000-0000-00004F1E0000}"/>
    <cellStyle name="Normal 8 6 3 3 2" xfId="14143" xr:uid="{2C6C180E-A91A-4EEE-A20A-8BC4B9DAE745}"/>
    <cellStyle name="Normal 8 6 3 4" xfId="9925" xr:uid="{CC8FF62E-289F-4451-94C0-AA3C8B9E8EEA}"/>
    <cellStyle name="Normal 8 6 4" xfId="1806" xr:uid="{00000000-0005-0000-0000-0000501E0000}"/>
    <cellStyle name="Normal 8 6 4 2" xfId="4036" xr:uid="{00000000-0005-0000-0000-0000511E0000}"/>
    <cellStyle name="Normal 8 6 4 2 2" xfId="8259" xr:uid="{00000000-0005-0000-0000-0000521E0000}"/>
    <cellStyle name="Normal 8 6 4 2 2 2" xfId="16701" xr:uid="{0ADCBBE0-FECC-413F-85E4-C0C42FCFEC55}"/>
    <cellStyle name="Normal 8 6 4 2 3" xfId="12483" xr:uid="{1E4D87F1-9F9D-41BF-98F3-D44CF1175CD3}"/>
    <cellStyle name="Normal 8 6 4 3" xfId="6114" xr:uid="{00000000-0005-0000-0000-0000531E0000}"/>
    <cellStyle name="Normal 8 6 4 3 2" xfId="14556" xr:uid="{43C25312-BF38-45DB-AFEA-31005BA20891}"/>
    <cellStyle name="Normal 8 6 4 4" xfId="10338" xr:uid="{5C229359-D174-49E9-BB61-A80FBF67F7F1}"/>
    <cellStyle name="Normal 8 6 5" xfId="2220" xr:uid="{00000000-0005-0000-0000-0000541E0000}"/>
    <cellStyle name="Normal 8 6 5 2" xfId="4449" xr:uid="{00000000-0005-0000-0000-0000551E0000}"/>
    <cellStyle name="Normal 8 6 5 2 2" xfId="8672" xr:uid="{00000000-0005-0000-0000-0000561E0000}"/>
    <cellStyle name="Normal 8 6 5 2 2 2" xfId="17114" xr:uid="{5619759D-266F-4DB1-A71B-9BA7598F335E}"/>
    <cellStyle name="Normal 8 6 5 2 3" xfId="12896" xr:uid="{59243733-8E3E-43F6-ACE3-519AA14A5A4A}"/>
    <cellStyle name="Normal 8 6 5 3" xfId="6527" xr:uid="{00000000-0005-0000-0000-0000571E0000}"/>
    <cellStyle name="Normal 8 6 5 3 2" xfId="14969" xr:uid="{C03CCCD3-9CF9-4BC2-9F2C-0A5374990E7B}"/>
    <cellStyle name="Normal 8 6 5 4" xfId="10751" xr:uid="{B900F77C-9878-42FD-A581-3F61DBFBB853}"/>
    <cellStyle name="Normal 8 6 6" xfId="2656" xr:uid="{00000000-0005-0000-0000-0000581E0000}"/>
    <cellStyle name="Normal 8 6 6 2" xfId="6940" xr:uid="{00000000-0005-0000-0000-0000591E0000}"/>
    <cellStyle name="Normal 8 6 6 2 2" xfId="15382" xr:uid="{C5E35F7C-AE83-42FA-A7B4-9CFF0BA16670}"/>
    <cellStyle name="Normal 8 6 6 3" xfId="11164" xr:uid="{EB9582C5-C988-439F-A055-DFA6DAE19676}"/>
    <cellStyle name="Normal 8 6 7" xfId="4875" xr:uid="{00000000-0005-0000-0000-00005A1E0000}"/>
    <cellStyle name="Normal 8 6 7 2" xfId="13317" xr:uid="{D1B74949-1DB4-4039-9F80-50DD1DF2AF0B}"/>
    <cellStyle name="Normal 8 6 8" xfId="9099" xr:uid="{1866C9BE-4380-40E5-A6D2-07FD4F53E6C9}"/>
    <cellStyle name="Normal 8 7" xfId="945" xr:uid="{00000000-0005-0000-0000-00005B1E0000}"/>
    <cellStyle name="Normal 8 7 2" xfId="3179" xr:uid="{00000000-0005-0000-0000-00005C1E0000}"/>
    <cellStyle name="Normal 8 7 2 2" xfId="7402" xr:uid="{00000000-0005-0000-0000-00005D1E0000}"/>
    <cellStyle name="Normal 8 7 2 2 2" xfId="15844" xr:uid="{567DAA27-F5CD-45BB-B730-EC23D20D1247}"/>
    <cellStyle name="Normal 8 7 2 3" xfId="11626" xr:uid="{84B99A47-9735-43D7-B22D-E7FFF2105546}"/>
    <cellStyle name="Normal 8 7 3" xfId="5257" xr:uid="{00000000-0005-0000-0000-00005E1E0000}"/>
    <cellStyle name="Normal 8 7 3 2" xfId="13699" xr:uid="{47B16BB4-5B5A-4E32-B0E4-84AB1D3C9561}"/>
    <cellStyle name="Normal 8 7 4" xfId="9481" xr:uid="{3F6D088B-EA66-4D8D-8D28-A6317942712E}"/>
    <cellStyle name="Normal 8 8" xfId="1362" xr:uid="{00000000-0005-0000-0000-00005F1E0000}"/>
    <cellStyle name="Normal 8 8 2" xfId="3592" xr:uid="{00000000-0005-0000-0000-0000601E0000}"/>
    <cellStyle name="Normal 8 8 2 2" xfId="7815" xr:uid="{00000000-0005-0000-0000-0000611E0000}"/>
    <cellStyle name="Normal 8 8 2 2 2" xfId="16257" xr:uid="{A45E8745-15BC-4823-B35A-141CDF7EFCF6}"/>
    <cellStyle name="Normal 8 8 2 3" xfId="12039" xr:uid="{257963AE-FEE0-4C88-B09A-06EC26B74F1D}"/>
    <cellStyle name="Normal 8 8 3" xfId="5670" xr:uid="{00000000-0005-0000-0000-0000621E0000}"/>
    <cellStyle name="Normal 8 8 3 2" xfId="14112" xr:uid="{42D8AAE4-3393-4137-B67D-3AAE6A6854EF}"/>
    <cellStyle name="Normal 8 8 4" xfId="9894" xr:uid="{E2FBB4BC-753F-4EAB-931F-22300D708A8E}"/>
    <cellStyle name="Normal 8 9" xfId="1775" xr:uid="{00000000-0005-0000-0000-0000631E0000}"/>
    <cellStyle name="Normal 8 9 2" xfId="4005" xr:uid="{00000000-0005-0000-0000-0000641E0000}"/>
    <cellStyle name="Normal 8 9 2 2" xfId="8228" xr:uid="{00000000-0005-0000-0000-0000651E0000}"/>
    <cellStyle name="Normal 8 9 2 2 2" xfId="16670" xr:uid="{14CA66EB-2475-4A14-8A3E-39D352ED2B74}"/>
    <cellStyle name="Normal 8 9 2 3" xfId="12452" xr:uid="{1915B1D2-E6AE-4055-B589-5CB1312D5093}"/>
    <cellStyle name="Normal 8 9 3" xfId="6083" xr:uid="{00000000-0005-0000-0000-0000661E0000}"/>
    <cellStyle name="Normal 8 9 3 2" xfId="14525" xr:uid="{DE4E76C1-BBE6-4AFF-8AA2-EA7B2A982ACD}"/>
    <cellStyle name="Normal 8 9 4" xfId="10307" xr:uid="{9F674F07-39AD-4B92-B4F2-52AA137130EB}"/>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9200BE89-1152-485E-A5AA-7C06B5BADA8C}"/>
    <cellStyle name="Normal 9 2 10 3" xfId="11165" xr:uid="{902AE418-C0C3-4100-A7B3-5FCF8DBBD643}"/>
    <cellStyle name="Normal 9 2 11" xfId="4876" xr:uid="{00000000-0005-0000-0000-00006B1E0000}"/>
    <cellStyle name="Normal 9 2 11 2" xfId="13318" xr:uid="{0A697D14-C50C-4389-A30C-8C276172502A}"/>
    <cellStyle name="Normal 9 2 12" xfId="9100" xr:uid="{173C559A-FC57-4225-B8A1-2AF7F28768F4}"/>
    <cellStyle name="Normal 9 2 2" xfId="512" xr:uid="{00000000-0005-0000-0000-00006C1E0000}"/>
    <cellStyle name="Normal 9 2 2 10" xfId="4877" xr:uid="{00000000-0005-0000-0000-00006D1E0000}"/>
    <cellStyle name="Normal 9 2 2 10 2" xfId="13319" xr:uid="{411F00E7-E53F-44EE-8322-4C0DB9E1624B}"/>
    <cellStyle name="Normal 9 2 2 11" xfId="9101" xr:uid="{8CDDEC38-2164-4C4A-A246-D70743A02B8C}"/>
    <cellStyle name="Normal 9 2 2 2" xfId="513" xr:uid="{00000000-0005-0000-0000-00006E1E0000}"/>
    <cellStyle name="Normal 9 2 2 2 10" xfId="9102" xr:uid="{0489563D-2A36-4BD2-99DC-2F2F3D193FFF}"/>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CF2CF5F9-E866-493C-88A1-9280B8158AEF}"/>
    <cellStyle name="Normal 9 2 2 2 2 2 2 2 3" xfId="11662" xr:uid="{BF1ECF33-6DF6-4385-8138-09CE0BBCE43D}"/>
    <cellStyle name="Normal 9 2 2 2 2 2 2 3" xfId="5293" xr:uid="{00000000-0005-0000-0000-0000741E0000}"/>
    <cellStyle name="Normal 9 2 2 2 2 2 2 3 2" xfId="13735" xr:uid="{F4A1984B-C859-432A-9BE7-A071DA6B1E55}"/>
    <cellStyle name="Normal 9 2 2 2 2 2 2 4" xfId="9517" xr:uid="{C73A7CC3-86A1-4F54-9F08-B5C1595BDD91}"/>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E3466238-7B0C-4BE9-B9D7-84B988C29B49}"/>
    <cellStyle name="Normal 9 2 2 2 2 2 3 2 3" xfId="12075" xr:uid="{54C4F12E-7880-4F22-AD4C-8CB10259565F}"/>
    <cellStyle name="Normal 9 2 2 2 2 2 3 3" xfId="5706" xr:uid="{00000000-0005-0000-0000-0000781E0000}"/>
    <cellStyle name="Normal 9 2 2 2 2 2 3 3 2" xfId="14148" xr:uid="{98E5CD95-46E8-45CE-9D43-82CB4A8102F9}"/>
    <cellStyle name="Normal 9 2 2 2 2 2 3 4" xfId="9930" xr:uid="{88579E72-EBD9-44FF-B15F-7A4036E6D9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6E5E18A8-4F7A-450F-8F03-E90045A56A4B}"/>
    <cellStyle name="Normal 9 2 2 2 2 2 4 2 3" xfId="12488" xr:uid="{7749D929-1435-443E-BAB9-0DA8D70724F9}"/>
    <cellStyle name="Normal 9 2 2 2 2 2 4 3" xfId="6119" xr:uid="{00000000-0005-0000-0000-00007C1E0000}"/>
    <cellStyle name="Normal 9 2 2 2 2 2 4 3 2" xfId="14561" xr:uid="{165E3656-4B19-45B1-A3FB-247AC5DCFC13}"/>
    <cellStyle name="Normal 9 2 2 2 2 2 4 4" xfId="10343" xr:uid="{C6F02FF8-55E0-4CC4-B195-F76641E8B68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07A02B0E-1722-4E4D-921E-AF0DBE6CFBA5}"/>
    <cellStyle name="Normal 9 2 2 2 2 2 5 2 3" xfId="12901" xr:uid="{8136AF0D-716C-4EA2-9839-6628BF5DC036}"/>
    <cellStyle name="Normal 9 2 2 2 2 2 5 3" xfId="6532" xr:uid="{00000000-0005-0000-0000-0000801E0000}"/>
    <cellStyle name="Normal 9 2 2 2 2 2 5 3 2" xfId="14974" xr:uid="{C6AFFD27-4C08-4E1E-8DFA-647D3DBF4242}"/>
    <cellStyle name="Normal 9 2 2 2 2 2 5 4" xfId="10756" xr:uid="{12D1BC6C-8B7F-4007-91CC-0969A2475A85}"/>
    <cellStyle name="Normal 9 2 2 2 2 2 6" xfId="2661" xr:uid="{00000000-0005-0000-0000-0000811E0000}"/>
    <cellStyle name="Normal 9 2 2 2 2 2 6 2" xfId="6945" xr:uid="{00000000-0005-0000-0000-0000821E0000}"/>
    <cellStyle name="Normal 9 2 2 2 2 2 6 2 2" xfId="15387" xr:uid="{E664AED1-1F60-4E46-BDBF-048A8B0FB2D3}"/>
    <cellStyle name="Normal 9 2 2 2 2 2 6 3" xfId="11169" xr:uid="{2A9FC5B3-1916-4257-9230-8F83ACB62733}"/>
    <cellStyle name="Normal 9 2 2 2 2 2 7" xfId="4880" xr:uid="{00000000-0005-0000-0000-0000831E0000}"/>
    <cellStyle name="Normal 9 2 2 2 2 2 7 2" xfId="13322" xr:uid="{1FF6A7AC-99E6-4601-B686-557472B84F95}"/>
    <cellStyle name="Normal 9 2 2 2 2 2 8" xfId="9104" xr:uid="{C836787D-82C3-4A15-AAA1-52B06579816B}"/>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F33A6907-82E5-4432-837D-FA7DB64F26D3}"/>
    <cellStyle name="Normal 9 2 2 2 2 3 2 3" xfId="11661" xr:uid="{DEB5EC8F-79C7-4F15-93C0-FF4056CF4DF0}"/>
    <cellStyle name="Normal 9 2 2 2 2 3 3" xfId="5292" xr:uid="{00000000-0005-0000-0000-0000871E0000}"/>
    <cellStyle name="Normal 9 2 2 2 2 3 3 2" xfId="13734" xr:uid="{07160E14-26EF-4EC3-82FB-A08093E1C044}"/>
    <cellStyle name="Normal 9 2 2 2 2 3 4" xfId="9516" xr:uid="{C6D9D8B9-104A-41CF-9918-D2D295E59305}"/>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A9F090CA-6972-40EF-AB49-7C5F16578B03}"/>
    <cellStyle name="Normal 9 2 2 2 2 4 2 3" xfId="12074" xr:uid="{FB807A44-F135-4F26-B5B8-CA727C848810}"/>
    <cellStyle name="Normal 9 2 2 2 2 4 3" xfId="5705" xr:uid="{00000000-0005-0000-0000-00008B1E0000}"/>
    <cellStyle name="Normal 9 2 2 2 2 4 3 2" xfId="14147" xr:uid="{09AF3703-4A0F-4F01-BC27-28B6CF3329C8}"/>
    <cellStyle name="Normal 9 2 2 2 2 4 4" xfId="9929" xr:uid="{63AC0DBB-584B-44B0-9973-E0C29A5D3D9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55E32D21-1425-4399-83DF-7267AFA9F617}"/>
    <cellStyle name="Normal 9 2 2 2 2 5 2 3" xfId="12487" xr:uid="{A42788EC-B769-441C-B410-DF06410827DE}"/>
    <cellStyle name="Normal 9 2 2 2 2 5 3" xfId="6118" xr:uid="{00000000-0005-0000-0000-00008F1E0000}"/>
    <cellStyle name="Normal 9 2 2 2 2 5 3 2" xfId="14560" xr:uid="{7DCAD4A0-4A1F-4811-8414-B5499CA0CE6E}"/>
    <cellStyle name="Normal 9 2 2 2 2 5 4" xfId="10342" xr:uid="{3B3297D7-DE24-4765-9CA5-EF221CD26FF7}"/>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68EB673F-F894-4000-87B3-42B5C0BD601D}"/>
    <cellStyle name="Normal 9 2 2 2 2 6 2 3" xfId="12900" xr:uid="{B1F8CF5F-B321-4119-8EBA-1D558CB46DA0}"/>
    <cellStyle name="Normal 9 2 2 2 2 6 3" xfId="6531" xr:uid="{00000000-0005-0000-0000-0000931E0000}"/>
    <cellStyle name="Normal 9 2 2 2 2 6 3 2" xfId="14973" xr:uid="{8C2701C3-EE80-4E25-8509-F5AE42FA487D}"/>
    <cellStyle name="Normal 9 2 2 2 2 6 4" xfId="10755" xr:uid="{BDFCA757-BD34-4A37-8D26-2E2312FBE31E}"/>
    <cellStyle name="Normal 9 2 2 2 2 7" xfId="2660" xr:uid="{00000000-0005-0000-0000-0000941E0000}"/>
    <cellStyle name="Normal 9 2 2 2 2 7 2" xfId="6944" xr:uid="{00000000-0005-0000-0000-0000951E0000}"/>
    <cellStyle name="Normal 9 2 2 2 2 7 2 2" xfId="15386" xr:uid="{04CC5B59-5078-4CFC-8E1D-E5CA9968A8AC}"/>
    <cellStyle name="Normal 9 2 2 2 2 7 3" xfId="11168" xr:uid="{443A47C3-BF4D-4F45-B985-474B09EAA154}"/>
    <cellStyle name="Normal 9 2 2 2 2 8" xfId="4879" xr:uid="{00000000-0005-0000-0000-0000961E0000}"/>
    <cellStyle name="Normal 9 2 2 2 2 8 2" xfId="13321" xr:uid="{061918A9-9B81-4A9A-8778-7280316B1618}"/>
    <cellStyle name="Normal 9 2 2 2 2 9" xfId="9103" xr:uid="{7585E89D-DA0A-4AC8-9ABA-1AAD4B19B4B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EF88BBD9-5579-4657-BA73-B74A4C41BBD0}"/>
    <cellStyle name="Normal 9 2 2 2 3 2 2 3" xfId="11663" xr:uid="{5D8ADD44-5FEF-4AA7-917A-D0782C4A2D1F}"/>
    <cellStyle name="Normal 9 2 2 2 3 2 3" xfId="5294" xr:uid="{00000000-0005-0000-0000-00009B1E0000}"/>
    <cellStyle name="Normal 9 2 2 2 3 2 3 2" xfId="13736" xr:uid="{25D106A3-4174-4044-ADDE-4B1DC5BA69D5}"/>
    <cellStyle name="Normal 9 2 2 2 3 2 4" xfId="9518" xr:uid="{73C97AB8-E9DF-4C28-9E89-C2CF97BF7224}"/>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7D713B49-3DBE-41A3-A33F-7147C8CCB3CB}"/>
    <cellStyle name="Normal 9 2 2 2 3 3 2 3" xfId="12076" xr:uid="{D8F91100-C75C-4807-B135-0F8F8326D51A}"/>
    <cellStyle name="Normal 9 2 2 2 3 3 3" xfId="5707" xr:uid="{00000000-0005-0000-0000-00009F1E0000}"/>
    <cellStyle name="Normal 9 2 2 2 3 3 3 2" xfId="14149" xr:uid="{42DDA331-C6EC-474D-AEE9-0C9A219AF8BB}"/>
    <cellStyle name="Normal 9 2 2 2 3 3 4" xfId="9931" xr:uid="{536CB4B2-E8D6-4442-BF08-3859E9166446}"/>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477783FB-AB76-44E7-9C51-93C16DC944C4}"/>
    <cellStyle name="Normal 9 2 2 2 3 4 2 3" xfId="12489" xr:uid="{E5749DE1-212B-4D5A-B57C-56593BFE51E4}"/>
    <cellStyle name="Normal 9 2 2 2 3 4 3" xfId="6120" xr:uid="{00000000-0005-0000-0000-0000A31E0000}"/>
    <cellStyle name="Normal 9 2 2 2 3 4 3 2" xfId="14562" xr:uid="{8F4BB738-123C-4505-A7A3-6227D69B78BA}"/>
    <cellStyle name="Normal 9 2 2 2 3 4 4" xfId="10344" xr:uid="{9BD793CA-409F-4D64-B099-E6FE48F21571}"/>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4D61FDA7-20BE-4E66-9551-0D5393F0571B}"/>
    <cellStyle name="Normal 9 2 2 2 3 5 2 3" xfId="12902" xr:uid="{49702B2F-F2EB-410E-AA1D-14D6A432FA28}"/>
    <cellStyle name="Normal 9 2 2 2 3 5 3" xfId="6533" xr:uid="{00000000-0005-0000-0000-0000A71E0000}"/>
    <cellStyle name="Normal 9 2 2 2 3 5 3 2" xfId="14975" xr:uid="{B04F24AF-7790-43E0-ADCA-2EDF56287954}"/>
    <cellStyle name="Normal 9 2 2 2 3 5 4" xfId="10757" xr:uid="{6A372542-4488-47A0-A0EB-C2C319C8E7B3}"/>
    <cellStyle name="Normal 9 2 2 2 3 6" xfId="2662" xr:uid="{00000000-0005-0000-0000-0000A81E0000}"/>
    <cellStyle name="Normal 9 2 2 2 3 6 2" xfId="6946" xr:uid="{00000000-0005-0000-0000-0000A91E0000}"/>
    <cellStyle name="Normal 9 2 2 2 3 6 2 2" xfId="15388" xr:uid="{00CEC6D5-8E3B-4CF3-8B50-A3AF354F301F}"/>
    <cellStyle name="Normal 9 2 2 2 3 6 3" xfId="11170" xr:uid="{B76F6787-08A3-486C-9F77-62D580A65647}"/>
    <cellStyle name="Normal 9 2 2 2 3 7" xfId="4881" xr:uid="{00000000-0005-0000-0000-0000AA1E0000}"/>
    <cellStyle name="Normal 9 2 2 2 3 7 2" xfId="13323" xr:uid="{E23E2483-1C10-498B-8F93-9B84277F0596}"/>
    <cellStyle name="Normal 9 2 2 2 3 8" xfId="9105" xr:uid="{1B41FA5A-D39E-43C7-9A1A-CE3C3FAD4C10}"/>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DF2FAA03-1A3D-4691-837C-59681FD542B0}"/>
    <cellStyle name="Normal 9 2 2 2 4 2 3" xfId="11660" xr:uid="{0C1B4F58-2633-4767-986A-4DA2F3FE8DA8}"/>
    <cellStyle name="Normal 9 2 2 2 4 3" xfId="5291" xr:uid="{00000000-0005-0000-0000-0000AE1E0000}"/>
    <cellStyle name="Normal 9 2 2 2 4 3 2" xfId="13733" xr:uid="{B37866BA-76BC-4E64-B9C8-4271A3920245}"/>
    <cellStyle name="Normal 9 2 2 2 4 4" xfId="9515" xr:uid="{99E8E5A8-7F0A-45FD-A637-DCDA3B037805}"/>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80E0FAD6-A05A-47A2-AB77-69B838FBE467}"/>
    <cellStyle name="Normal 9 2 2 2 5 2 3" xfId="12073" xr:uid="{BFADEFC7-716A-4486-B050-12699759E101}"/>
    <cellStyle name="Normal 9 2 2 2 5 3" xfId="5704" xr:uid="{00000000-0005-0000-0000-0000B21E0000}"/>
    <cellStyle name="Normal 9 2 2 2 5 3 2" xfId="14146" xr:uid="{19877C70-ADAD-4C8E-A735-2DEB2B23FD6C}"/>
    <cellStyle name="Normal 9 2 2 2 5 4" xfId="9928" xr:uid="{75731B5B-43C7-4F80-88B2-4100FC993B92}"/>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DB262043-2A11-4E28-9C10-431AD1233FF7}"/>
    <cellStyle name="Normal 9 2 2 2 6 2 3" xfId="12486" xr:uid="{53798AD1-FC21-4A9B-A8A4-7271B6DDD528}"/>
    <cellStyle name="Normal 9 2 2 2 6 3" xfId="6117" xr:uid="{00000000-0005-0000-0000-0000B61E0000}"/>
    <cellStyle name="Normal 9 2 2 2 6 3 2" xfId="14559" xr:uid="{9F568A2F-0959-44DA-A661-9A065310FE12}"/>
    <cellStyle name="Normal 9 2 2 2 6 4" xfId="10341" xr:uid="{E560E6EF-6ECF-4BD0-9936-442E166EFA0A}"/>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026B9E80-4E6C-4333-AA7E-A0EAC557069F}"/>
    <cellStyle name="Normal 9 2 2 2 7 2 3" xfId="12899" xr:uid="{F2826549-2196-4238-9724-9AE77013D9CB}"/>
    <cellStyle name="Normal 9 2 2 2 7 3" xfId="6530" xr:uid="{00000000-0005-0000-0000-0000BA1E0000}"/>
    <cellStyle name="Normal 9 2 2 2 7 3 2" xfId="14972" xr:uid="{3EC130A5-4D31-41EF-B861-097C7AAB9CD0}"/>
    <cellStyle name="Normal 9 2 2 2 7 4" xfId="10754" xr:uid="{78D4AF4B-6649-4633-865C-633E252555AB}"/>
    <cellStyle name="Normal 9 2 2 2 8" xfId="2659" xr:uid="{00000000-0005-0000-0000-0000BB1E0000}"/>
    <cellStyle name="Normal 9 2 2 2 8 2" xfId="6943" xr:uid="{00000000-0005-0000-0000-0000BC1E0000}"/>
    <cellStyle name="Normal 9 2 2 2 8 2 2" xfId="15385" xr:uid="{2529F308-601E-48FF-900A-A5D5D3B48D1D}"/>
    <cellStyle name="Normal 9 2 2 2 8 3" xfId="11167" xr:uid="{B7021FD8-C5FC-43CE-8AB7-A710520D2A70}"/>
    <cellStyle name="Normal 9 2 2 2 9" xfId="4878" xr:uid="{00000000-0005-0000-0000-0000BD1E0000}"/>
    <cellStyle name="Normal 9 2 2 2 9 2" xfId="13320" xr:uid="{5A60C85D-4F10-4FC2-A491-14F73DD3F765}"/>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E13B7D54-A173-410E-91AA-84A72240C469}"/>
    <cellStyle name="Normal 9 2 2 3 2 2 2 3" xfId="11665" xr:uid="{6BE7CF2E-9141-48E9-94FE-B7069F651177}"/>
    <cellStyle name="Normal 9 2 2 3 2 2 3" xfId="5296" xr:uid="{00000000-0005-0000-0000-0000C31E0000}"/>
    <cellStyle name="Normal 9 2 2 3 2 2 3 2" xfId="13738" xr:uid="{34FF07ED-C8CC-46B5-BEC1-E1EC5BFEABAF}"/>
    <cellStyle name="Normal 9 2 2 3 2 2 4" xfId="9520" xr:uid="{90E8BB41-69A9-4977-B6F1-CA91763D5697}"/>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0D26434B-3B33-4E14-842F-CC8D736505F4}"/>
    <cellStyle name="Normal 9 2 2 3 2 3 2 3" xfId="12078" xr:uid="{31044362-81BE-4853-82FA-5B56F4284A16}"/>
    <cellStyle name="Normal 9 2 2 3 2 3 3" xfId="5709" xr:uid="{00000000-0005-0000-0000-0000C71E0000}"/>
    <cellStyle name="Normal 9 2 2 3 2 3 3 2" xfId="14151" xr:uid="{153D690A-2751-4B85-B008-21FB3E7E795E}"/>
    <cellStyle name="Normal 9 2 2 3 2 3 4" xfId="9933" xr:uid="{EBE8C835-B404-4867-8A6F-6868CB432BB6}"/>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0D00D3AE-EF4D-4930-818C-D26796AEF31B}"/>
    <cellStyle name="Normal 9 2 2 3 2 4 2 3" xfId="12491" xr:uid="{4D7EEE84-E8FB-439B-A4C2-2950588EF427}"/>
    <cellStyle name="Normal 9 2 2 3 2 4 3" xfId="6122" xr:uid="{00000000-0005-0000-0000-0000CB1E0000}"/>
    <cellStyle name="Normal 9 2 2 3 2 4 3 2" xfId="14564" xr:uid="{476B6504-CC77-4D68-893A-4999A5ECBDD0}"/>
    <cellStyle name="Normal 9 2 2 3 2 4 4" xfId="10346" xr:uid="{6BEE6B4A-F37B-4017-A11D-883DC569958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71DF626-6EBD-437A-80D1-2F83DB6C3565}"/>
    <cellStyle name="Normal 9 2 2 3 2 5 2 3" xfId="12904" xr:uid="{EE772A9B-58EE-48F9-BEF1-3794D4186155}"/>
    <cellStyle name="Normal 9 2 2 3 2 5 3" xfId="6535" xr:uid="{00000000-0005-0000-0000-0000CF1E0000}"/>
    <cellStyle name="Normal 9 2 2 3 2 5 3 2" xfId="14977" xr:uid="{BCFEE581-7B1D-4147-9DCE-17F242FA3BA3}"/>
    <cellStyle name="Normal 9 2 2 3 2 5 4" xfId="10759" xr:uid="{21809AAC-49D5-48EC-8510-F54174537949}"/>
    <cellStyle name="Normal 9 2 2 3 2 6" xfId="2664" xr:uid="{00000000-0005-0000-0000-0000D01E0000}"/>
    <cellStyle name="Normal 9 2 2 3 2 6 2" xfId="6948" xr:uid="{00000000-0005-0000-0000-0000D11E0000}"/>
    <cellStyle name="Normal 9 2 2 3 2 6 2 2" xfId="15390" xr:uid="{645A3B5A-0BD5-4EE7-B6A0-557CB1B0AB36}"/>
    <cellStyle name="Normal 9 2 2 3 2 6 3" xfId="11172" xr:uid="{A55D9FC5-0A2D-4BCE-94A7-A456809AAD86}"/>
    <cellStyle name="Normal 9 2 2 3 2 7" xfId="4883" xr:uid="{00000000-0005-0000-0000-0000D21E0000}"/>
    <cellStyle name="Normal 9 2 2 3 2 7 2" xfId="13325" xr:uid="{430046CD-259C-4FB4-A9D2-0227B2FAF97A}"/>
    <cellStyle name="Normal 9 2 2 3 2 8" xfId="9107" xr:uid="{97600DEA-EAA9-4C23-9450-B4B5AA04D88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445D2903-F92F-421E-8B74-C8D66B504395}"/>
    <cellStyle name="Normal 9 2 2 3 3 2 3" xfId="11664" xr:uid="{E673513A-EA02-4752-81EE-9E4B83A11189}"/>
    <cellStyle name="Normal 9 2 2 3 3 3" xfId="5295" xr:uid="{00000000-0005-0000-0000-0000D61E0000}"/>
    <cellStyle name="Normal 9 2 2 3 3 3 2" xfId="13737" xr:uid="{00B6FB4E-FEC8-4EAE-AFF6-EEBFCE7EC8C6}"/>
    <cellStyle name="Normal 9 2 2 3 3 4" xfId="9519" xr:uid="{EFB33D07-E9C3-4309-88AB-5C1C0D976DCB}"/>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66D41E51-A89B-4DFA-9215-7C0FEE7EA507}"/>
    <cellStyle name="Normal 9 2 2 3 4 2 3" xfId="12077" xr:uid="{9C2486F5-7329-4875-8D78-BC207FEE04BD}"/>
    <cellStyle name="Normal 9 2 2 3 4 3" xfId="5708" xr:uid="{00000000-0005-0000-0000-0000DA1E0000}"/>
    <cellStyle name="Normal 9 2 2 3 4 3 2" xfId="14150" xr:uid="{02405D4D-4783-457B-8AD9-98F9FD5EA65E}"/>
    <cellStyle name="Normal 9 2 2 3 4 4" xfId="9932" xr:uid="{8D141BFC-27E6-415F-BC40-A34B0B01853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4B487C37-FF85-46A3-8B6D-AEFFE164E1F3}"/>
    <cellStyle name="Normal 9 2 2 3 5 2 3" xfId="12490" xr:uid="{A4E8A3D2-A958-408C-B2BC-C0E5A84B1803}"/>
    <cellStyle name="Normal 9 2 2 3 5 3" xfId="6121" xr:uid="{00000000-0005-0000-0000-0000DE1E0000}"/>
    <cellStyle name="Normal 9 2 2 3 5 3 2" xfId="14563" xr:uid="{DD16395A-031D-4663-AF52-65AB71BEE67A}"/>
    <cellStyle name="Normal 9 2 2 3 5 4" xfId="10345" xr:uid="{147340A7-E13A-466B-81F6-CD15D0B8A61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25953FFA-E422-472D-8FF3-D1CEC4FE3AA7}"/>
    <cellStyle name="Normal 9 2 2 3 6 2 3" xfId="12903" xr:uid="{E785843D-890B-474E-BE69-EA852098DFDF}"/>
    <cellStyle name="Normal 9 2 2 3 6 3" xfId="6534" xr:uid="{00000000-0005-0000-0000-0000E21E0000}"/>
    <cellStyle name="Normal 9 2 2 3 6 3 2" xfId="14976" xr:uid="{402F63A8-DB42-4154-9F96-EE4886921B78}"/>
    <cellStyle name="Normal 9 2 2 3 6 4" xfId="10758" xr:uid="{10FA79C9-F8F4-415A-8FE6-F83D86C5B0B1}"/>
    <cellStyle name="Normal 9 2 2 3 7" xfId="2663" xr:uid="{00000000-0005-0000-0000-0000E31E0000}"/>
    <cellStyle name="Normal 9 2 2 3 7 2" xfId="6947" xr:uid="{00000000-0005-0000-0000-0000E41E0000}"/>
    <cellStyle name="Normal 9 2 2 3 7 2 2" xfId="15389" xr:uid="{6DA9DEF3-75B8-4F3E-83A2-2BBCB70BF7B8}"/>
    <cellStyle name="Normal 9 2 2 3 7 3" xfId="11171" xr:uid="{EC4B470A-57AF-4633-ABA4-A906CCEC1804}"/>
    <cellStyle name="Normal 9 2 2 3 8" xfId="4882" xr:uid="{00000000-0005-0000-0000-0000E51E0000}"/>
    <cellStyle name="Normal 9 2 2 3 8 2" xfId="13324" xr:uid="{E9CA189A-5719-41D7-890D-7D85CD81B952}"/>
    <cellStyle name="Normal 9 2 2 3 9" xfId="9106" xr:uid="{0BFEA4B7-9E5B-4C3A-A61D-53A03271E1D3}"/>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1D0C1FDD-6672-418F-828B-03B03F0854AE}"/>
    <cellStyle name="Normal 9 2 2 4 2 2 3" xfId="11666" xr:uid="{50BD34AB-8CDD-47A9-BD5A-49830F3A2272}"/>
    <cellStyle name="Normal 9 2 2 4 2 3" xfId="5297" xr:uid="{00000000-0005-0000-0000-0000EA1E0000}"/>
    <cellStyle name="Normal 9 2 2 4 2 3 2" xfId="13739" xr:uid="{B0A8303F-F818-49A4-936D-E99A4640688A}"/>
    <cellStyle name="Normal 9 2 2 4 2 4" xfId="9521" xr:uid="{E7C0F25D-7105-4BFB-BB7F-729F0769DA27}"/>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42D555BE-2681-436F-91C8-9A33674E4830}"/>
    <cellStyle name="Normal 9 2 2 4 3 2 3" xfId="12079" xr:uid="{D1EFE830-A73D-451A-BC09-FDC39147FB4A}"/>
    <cellStyle name="Normal 9 2 2 4 3 3" xfId="5710" xr:uid="{00000000-0005-0000-0000-0000EE1E0000}"/>
    <cellStyle name="Normal 9 2 2 4 3 3 2" xfId="14152" xr:uid="{C09DCFDC-FA50-4464-AC59-390F86A526DC}"/>
    <cellStyle name="Normal 9 2 2 4 3 4" xfId="9934" xr:uid="{93FD369E-C399-44A5-A122-5D601936B9D1}"/>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221092DD-3E4B-4F35-831F-54743888ECE6}"/>
    <cellStyle name="Normal 9 2 2 4 4 2 3" xfId="12492" xr:uid="{8ECBD710-E2EE-4321-9026-133200A81F69}"/>
    <cellStyle name="Normal 9 2 2 4 4 3" xfId="6123" xr:uid="{00000000-0005-0000-0000-0000F21E0000}"/>
    <cellStyle name="Normal 9 2 2 4 4 3 2" xfId="14565" xr:uid="{41859E49-E173-4AF9-94BE-3A6B94827B3B}"/>
    <cellStyle name="Normal 9 2 2 4 4 4" xfId="10347" xr:uid="{8605F8D6-E3ED-4E34-AD77-2ED7F59432A1}"/>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61BD596F-8E2E-4476-9FFF-48806069AB92}"/>
    <cellStyle name="Normal 9 2 2 4 5 2 3" xfId="12905" xr:uid="{00F152F2-B10D-4EC8-8600-CA9BD61CC9B3}"/>
    <cellStyle name="Normal 9 2 2 4 5 3" xfId="6536" xr:uid="{00000000-0005-0000-0000-0000F61E0000}"/>
    <cellStyle name="Normal 9 2 2 4 5 3 2" xfId="14978" xr:uid="{A3E8AEB7-FCA0-4BB2-B609-4DF0049A823A}"/>
    <cellStyle name="Normal 9 2 2 4 5 4" xfId="10760" xr:uid="{66764841-0032-4DE4-9078-4487B5458ABC}"/>
    <cellStyle name="Normal 9 2 2 4 6" xfId="2665" xr:uid="{00000000-0005-0000-0000-0000F71E0000}"/>
    <cellStyle name="Normal 9 2 2 4 6 2" xfId="6949" xr:uid="{00000000-0005-0000-0000-0000F81E0000}"/>
    <cellStyle name="Normal 9 2 2 4 6 2 2" xfId="15391" xr:uid="{A4F2728D-9606-4C40-BD64-B6726447C975}"/>
    <cellStyle name="Normal 9 2 2 4 6 3" xfId="11173" xr:uid="{6D919E24-E940-4793-939E-A18C737E26E7}"/>
    <cellStyle name="Normal 9 2 2 4 7" xfId="4884" xr:uid="{00000000-0005-0000-0000-0000F91E0000}"/>
    <cellStyle name="Normal 9 2 2 4 7 2" xfId="13326" xr:uid="{EAAC6AE9-D022-4572-A30A-0B263543C1D8}"/>
    <cellStyle name="Normal 9 2 2 4 8" xfId="9108" xr:uid="{AD38D198-A8F3-4D97-A4C3-A574E15809C1}"/>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0E752CF0-D25A-48E5-ACFD-041C15D4C8D0}"/>
    <cellStyle name="Normal 9 2 2 5 2 3" xfId="11659" xr:uid="{65360870-236B-4313-84CC-0F169A50D1AB}"/>
    <cellStyle name="Normal 9 2 2 5 3" xfId="5290" xr:uid="{00000000-0005-0000-0000-0000FD1E0000}"/>
    <cellStyle name="Normal 9 2 2 5 3 2" xfId="13732" xr:uid="{4ACB7D41-3DEE-429C-B94C-7373B2235053}"/>
    <cellStyle name="Normal 9 2 2 5 4" xfId="9514" xr:uid="{E36F4E14-8498-4E7F-ABF2-E9EF6A4EC3E6}"/>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05915CD-0610-4325-8125-B425E1156F36}"/>
    <cellStyle name="Normal 9 2 2 6 2 3" xfId="12072" xr:uid="{C71522B1-95C8-4002-B345-436C0A7E0822}"/>
    <cellStyle name="Normal 9 2 2 6 3" xfId="5703" xr:uid="{00000000-0005-0000-0000-0000011F0000}"/>
    <cellStyle name="Normal 9 2 2 6 3 2" xfId="14145" xr:uid="{DBF64FEF-B322-4C38-BFD5-02367869FA4D}"/>
    <cellStyle name="Normal 9 2 2 6 4" xfId="9927" xr:uid="{B5C586F7-102B-4BC5-AF61-0A1946ACD92F}"/>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C5899ECC-177F-4715-80AC-F130CED282D3}"/>
    <cellStyle name="Normal 9 2 2 7 2 3" xfId="12485" xr:uid="{5CD2718B-829A-4C86-8B5D-57DA9EF46086}"/>
    <cellStyle name="Normal 9 2 2 7 3" xfId="6116" xr:uid="{00000000-0005-0000-0000-0000051F0000}"/>
    <cellStyle name="Normal 9 2 2 7 3 2" xfId="14558" xr:uid="{575ED54C-26E0-4464-84B4-BD691CAB813D}"/>
    <cellStyle name="Normal 9 2 2 7 4" xfId="10340" xr:uid="{379AF4B2-C61C-48AB-9A6F-3D20D9643DEA}"/>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A3EEAD35-95AC-4BFC-97A2-83799B05CC8F}"/>
    <cellStyle name="Normal 9 2 2 8 2 3" xfId="12898" xr:uid="{D20AE983-D979-406F-AF6A-52CAF4B81B49}"/>
    <cellStyle name="Normal 9 2 2 8 3" xfId="6529" xr:uid="{00000000-0005-0000-0000-0000091F0000}"/>
    <cellStyle name="Normal 9 2 2 8 3 2" xfId="14971" xr:uid="{4D8DEA28-062F-4B1F-B258-B6672422159C}"/>
    <cellStyle name="Normal 9 2 2 8 4" xfId="10753" xr:uid="{F6C39476-2746-44C2-AB99-4FE0C7D2B187}"/>
    <cellStyle name="Normal 9 2 2 9" xfId="2658" xr:uid="{00000000-0005-0000-0000-00000A1F0000}"/>
    <cellStyle name="Normal 9 2 2 9 2" xfId="6942" xr:uid="{00000000-0005-0000-0000-00000B1F0000}"/>
    <cellStyle name="Normal 9 2 2 9 2 2" xfId="15384" xr:uid="{BD6B67F9-E711-48FE-9E1C-1D0D5AF20F22}"/>
    <cellStyle name="Normal 9 2 2 9 3" xfId="11166" xr:uid="{92EF07B4-8CB7-4337-B088-EC5934988F81}"/>
    <cellStyle name="Normal 9 2 3" xfId="520" xr:uid="{00000000-0005-0000-0000-00000C1F0000}"/>
    <cellStyle name="Normal 9 2 3 10" xfId="9109" xr:uid="{5773F737-DB98-4566-8075-629AD6D0F9F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32D026CD-BDC6-4CBB-9E0A-B62CBC8399AE}"/>
    <cellStyle name="Normal 9 2 3 2 2 2 2 3" xfId="11669" xr:uid="{6EEA9637-FF65-4E81-B752-A086AE098015}"/>
    <cellStyle name="Normal 9 2 3 2 2 2 3" xfId="5300" xr:uid="{00000000-0005-0000-0000-0000121F0000}"/>
    <cellStyle name="Normal 9 2 3 2 2 2 3 2" xfId="13742" xr:uid="{96FA7E34-5512-42F7-970E-BE1BEDFFF823}"/>
    <cellStyle name="Normal 9 2 3 2 2 2 4" xfId="9524" xr:uid="{F8BCCD59-9CB4-43DE-9568-93A1835E528D}"/>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5444CC8E-48E2-48D9-8EC5-E58B7E731776}"/>
    <cellStyle name="Normal 9 2 3 2 2 3 2 3" xfId="12082" xr:uid="{0861D8B2-7167-4065-A44E-F9E028531111}"/>
    <cellStyle name="Normal 9 2 3 2 2 3 3" xfId="5713" xr:uid="{00000000-0005-0000-0000-0000161F0000}"/>
    <cellStyle name="Normal 9 2 3 2 2 3 3 2" xfId="14155" xr:uid="{A78E2B56-7996-4E45-B474-BD47184D7648}"/>
    <cellStyle name="Normal 9 2 3 2 2 3 4" xfId="9937" xr:uid="{4C266952-FEFD-404C-9813-D567D82706CF}"/>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B220A156-F844-4C43-87BF-BF94BFEFA424}"/>
    <cellStyle name="Normal 9 2 3 2 2 4 2 3" xfId="12495" xr:uid="{540E4DD9-B47A-4B6E-B6C9-650DAAD52523}"/>
    <cellStyle name="Normal 9 2 3 2 2 4 3" xfId="6126" xr:uid="{00000000-0005-0000-0000-00001A1F0000}"/>
    <cellStyle name="Normal 9 2 3 2 2 4 3 2" xfId="14568" xr:uid="{76F63E6C-92AD-46C2-9B37-67D0D9201BC9}"/>
    <cellStyle name="Normal 9 2 3 2 2 4 4" xfId="10350" xr:uid="{8A80404C-8912-41E8-9909-998478D27585}"/>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4380655F-7095-4D72-A271-29CB9A01B836}"/>
    <cellStyle name="Normal 9 2 3 2 2 5 2 3" xfId="12908" xr:uid="{F48B51E5-765A-4322-8CAC-AAF1CEC21340}"/>
    <cellStyle name="Normal 9 2 3 2 2 5 3" xfId="6539" xr:uid="{00000000-0005-0000-0000-00001E1F0000}"/>
    <cellStyle name="Normal 9 2 3 2 2 5 3 2" xfId="14981" xr:uid="{7CE4A7FE-0AE3-4284-8419-EF88F943E307}"/>
    <cellStyle name="Normal 9 2 3 2 2 5 4" xfId="10763" xr:uid="{CF9CAA4E-1871-409F-8583-CA7FE7E13372}"/>
    <cellStyle name="Normal 9 2 3 2 2 6" xfId="2668" xr:uid="{00000000-0005-0000-0000-00001F1F0000}"/>
    <cellStyle name="Normal 9 2 3 2 2 6 2" xfId="6952" xr:uid="{00000000-0005-0000-0000-0000201F0000}"/>
    <cellStyle name="Normal 9 2 3 2 2 6 2 2" xfId="15394" xr:uid="{F5383922-E7DB-4747-8515-0F5C43C16D77}"/>
    <cellStyle name="Normal 9 2 3 2 2 6 3" xfId="11176" xr:uid="{4C03E93A-7C9B-4AC4-B6CA-EE9B2FA8FA22}"/>
    <cellStyle name="Normal 9 2 3 2 2 7" xfId="4887" xr:uid="{00000000-0005-0000-0000-0000211F0000}"/>
    <cellStyle name="Normal 9 2 3 2 2 7 2" xfId="13329" xr:uid="{97B06C60-65BE-47B8-998C-651C5543E9C2}"/>
    <cellStyle name="Normal 9 2 3 2 2 8" xfId="9111" xr:uid="{7A7ABC8B-9D03-4789-8DB4-CB176F66C07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B34F841E-053A-418C-B4F7-D3E3E1E20F1E}"/>
    <cellStyle name="Normal 9 2 3 2 3 2 3" xfId="11668" xr:uid="{31AF77E2-ECCE-44DB-991F-010CB2C5082E}"/>
    <cellStyle name="Normal 9 2 3 2 3 3" xfId="5299" xr:uid="{00000000-0005-0000-0000-0000251F0000}"/>
    <cellStyle name="Normal 9 2 3 2 3 3 2" xfId="13741" xr:uid="{CA6EE2E4-4244-4B0B-A5CD-BCA0C8F76295}"/>
    <cellStyle name="Normal 9 2 3 2 3 4" xfId="9523" xr:uid="{F2D56E0D-0F8D-4AEF-BAE5-D479554696DB}"/>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FF4ABE15-FCCB-437B-AF5A-B34FCCAF71E2}"/>
    <cellStyle name="Normal 9 2 3 2 4 2 3" xfId="12081" xr:uid="{CF8DBB0C-E010-4688-AF4E-9A74C1A80606}"/>
    <cellStyle name="Normal 9 2 3 2 4 3" xfId="5712" xr:uid="{00000000-0005-0000-0000-0000291F0000}"/>
    <cellStyle name="Normal 9 2 3 2 4 3 2" xfId="14154" xr:uid="{81B8CDF6-6074-4B0D-BDC3-E3BAAC92D09A}"/>
    <cellStyle name="Normal 9 2 3 2 4 4" xfId="9936" xr:uid="{CB358CC7-7A02-440B-AF62-D7FB2EBB867F}"/>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3A394D2A-C98A-4648-99DB-FD9F6933A2B7}"/>
    <cellStyle name="Normal 9 2 3 2 5 2 3" xfId="12494" xr:uid="{6900C9D4-1E93-4436-96BB-D7DD4B4DF251}"/>
    <cellStyle name="Normal 9 2 3 2 5 3" xfId="6125" xr:uid="{00000000-0005-0000-0000-00002D1F0000}"/>
    <cellStyle name="Normal 9 2 3 2 5 3 2" xfId="14567" xr:uid="{174F0039-6451-4DFB-B7C5-BD989AD64BEE}"/>
    <cellStyle name="Normal 9 2 3 2 5 4" xfId="10349" xr:uid="{B439BB21-F0A0-4CDE-8EB5-C641AD01D679}"/>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507ED723-1480-41EF-B722-AEAAC7CB22A8}"/>
    <cellStyle name="Normal 9 2 3 2 6 2 3" xfId="12907" xr:uid="{EE895682-F21F-4596-9E19-8254CD13FA5D}"/>
    <cellStyle name="Normal 9 2 3 2 6 3" xfId="6538" xr:uid="{00000000-0005-0000-0000-0000311F0000}"/>
    <cellStyle name="Normal 9 2 3 2 6 3 2" xfId="14980" xr:uid="{51FFD39F-3117-4910-9FA5-C7B21CDEEFA6}"/>
    <cellStyle name="Normal 9 2 3 2 6 4" xfId="10762" xr:uid="{AF60B648-EA8D-4EB3-A89C-F529CDEC1ECC}"/>
    <cellStyle name="Normal 9 2 3 2 7" xfId="2667" xr:uid="{00000000-0005-0000-0000-0000321F0000}"/>
    <cellStyle name="Normal 9 2 3 2 7 2" xfId="6951" xr:uid="{00000000-0005-0000-0000-0000331F0000}"/>
    <cellStyle name="Normal 9 2 3 2 7 2 2" xfId="15393" xr:uid="{AE0C2C87-C2AD-4F54-85DC-97F2165622E3}"/>
    <cellStyle name="Normal 9 2 3 2 7 3" xfId="11175" xr:uid="{44727DDA-E596-4F4C-BDC1-79DB41A16F4E}"/>
    <cellStyle name="Normal 9 2 3 2 8" xfId="4886" xr:uid="{00000000-0005-0000-0000-0000341F0000}"/>
    <cellStyle name="Normal 9 2 3 2 8 2" xfId="13328" xr:uid="{3E25F419-A85A-456D-B8A3-AD7CB8F656A0}"/>
    <cellStyle name="Normal 9 2 3 2 9" xfId="9110" xr:uid="{FCC63AF0-BEFD-412D-A241-0F695724A862}"/>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07CD3496-0A24-49C9-8A0F-A80EDAB9732F}"/>
    <cellStyle name="Normal 9 2 3 3 2 2 3" xfId="11670" xr:uid="{76F151C0-A274-4325-9B64-39FD372ABEB7}"/>
    <cellStyle name="Normal 9 2 3 3 2 3" xfId="5301" xr:uid="{00000000-0005-0000-0000-0000391F0000}"/>
    <cellStyle name="Normal 9 2 3 3 2 3 2" xfId="13743" xr:uid="{66C25CD3-DD3C-4967-A576-C640FA9CB2BB}"/>
    <cellStyle name="Normal 9 2 3 3 2 4" xfId="9525" xr:uid="{73431E51-450E-4D43-BDF6-7F1959531B06}"/>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2668AB10-7032-4B2E-A9E7-0ABD39D23E41}"/>
    <cellStyle name="Normal 9 2 3 3 3 2 3" xfId="12083" xr:uid="{6A9E524F-3346-45BA-A87C-4C87C78BFEF3}"/>
    <cellStyle name="Normal 9 2 3 3 3 3" xfId="5714" xr:uid="{00000000-0005-0000-0000-00003D1F0000}"/>
    <cellStyle name="Normal 9 2 3 3 3 3 2" xfId="14156" xr:uid="{BB2FAD5A-B752-4C5B-9728-D5E7F62A11CE}"/>
    <cellStyle name="Normal 9 2 3 3 3 4" xfId="9938" xr:uid="{C637695B-9C0A-4826-B4D7-80DE26032788}"/>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7B12F736-84BD-4E0D-97CD-ED8622915730}"/>
    <cellStyle name="Normal 9 2 3 3 4 2 3" xfId="12496" xr:uid="{91070C61-8D37-418D-B858-F5D957F4AC7C}"/>
    <cellStyle name="Normal 9 2 3 3 4 3" xfId="6127" xr:uid="{00000000-0005-0000-0000-0000411F0000}"/>
    <cellStyle name="Normal 9 2 3 3 4 3 2" xfId="14569" xr:uid="{C733BFEA-D672-4780-AE29-E1560F3BFA53}"/>
    <cellStyle name="Normal 9 2 3 3 4 4" xfId="10351" xr:uid="{9EA84F4E-397B-4C7B-BA4D-CD705D1F2046}"/>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4C3B3113-79E1-4FCA-9A50-4750E0B020B9}"/>
    <cellStyle name="Normal 9 2 3 3 5 2 3" xfId="12909" xr:uid="{0E572AF7-D481-4D72-979E-96D950F58F03}"/>
    <cellStyle name="Normal 9 2 3 3 5 3" xfId="6540" xr:uid="{00000000-0005-0000-0000-0000451F0000}"/>
    <cellStyle name="Normal 9 2 3 3 5 3 2" xfId="14982" xr:uid="{CD83D672-58EE-4A73-862C-E0B0BD27C3F1}"/>
    <cellStyle name="Normal 9 2 3 3 5 4" xfId="10764" xr:uid="{B15AAC6D-90D1-45E9-8FF3-8C67FF1C4EFC}"/>
    <cellStyle name="Normal 9 2 3 3 6" xfId="2669" xr:uid="{00000000-0005-0000-0000-0000461F0000}"/>
    <cellStyle name="Normal 9 2 3 3 6 2" xfId="6953" xr:uid="{00000000-0005-0000-0000-0000471F0000}"/>
    <cellStyle name="Normal 9 2 3 3 6 2 2" xfId="15395" xr:uid="{1EC0E0D1-C8E5-4328-B409-6168CC1F010E}"/>
    <cellStyle name="Normal 9 2 3 3 6 3" xfId="11177" xr:uid="{8C6DB0A8-C921-4CD7-801B-884223B94611}"/>
    <cellStyle name="Normal 9 2 3 3 7" xfId="4888" xr:uid="{00000000-0005-0000-0000-0000481F0000}"/>
    <cellStyle name="Normal 9 2 3 3 7 2" xfId="13330" xr:uid="{CEAF565B-6A94-4FF5-8B44-B108C4DA81E7}"/>
    <cellStyle name="Normal 9 2 3 3 8" xfId="9112" xr:uid="{EE56FCC2-62B7-4E15-AFAF-A0100088D988}"/>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C1C5225F-89A9-4691-ADD9-25703AAE97F7}"/>
    <cellStyle name="Normal 9 2 3 4 2 3" xfId="11667" xr:uid="{32C35344-3D1C-4D12-82BF-271B47CB5487}"/>
    <cellStyle name="Normal 9 2 3 4 3" xfId="5298" xr:uid="{00000000-0005-0000-0000-00004C1F0000}"/>
    <cellStyle name="Normal 9 2 3 4 3 2" xfId="13740" xr:uid="{74BAB506-5CC5-4182-BFD6-C4E3B3B33AC2}"/>
    <cellStyle name="Normal 9 2 3 4 4" xfId="9522" xr:uid="{A00D6DED-D6AA-4727-A1A3-BEA852443A98}"/>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3ECA444F-6FBE-4E7E-8996-3D22410BE4DA}"/>
    <cellStyle name="Normal 9 2 3 5 2 3" xfId="12080" xr:uid="{8859910B-9001-4E62-9798-5EE2CCABE3EE}"/>
    <cellStyle name="Normal 9 2 3 5 3" xfId="5711" xr:uid="{00000000-0005-0000-0000-0000501F0000}"/>
    <cellStyle name="Normal 9 2 3 5 3 2" xfId="14153" xr:uid="{51B5324F-FF7F-48B6-911F-2D076A6998B5}"/>
    <cellStyle name="Normal 9 2 3 5 4" xfId="9935" xr:uid="{FE63C379-9F57-4D8D-BB78-540D737AD028}"/>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3D4E3D28-CB53-44F0-811B-83EAA965CD7F}"/>
    <cellStyle name="Normal 9 2 3 6 2 3" xfId="12493" xr:uid="{2A13FB0C-D863-43CF-B47F-2EBB6AD07828}"/>
    <cellStyle name="Normal 9 2 3 6 3" xfId="6124" xr:uid="{00000000-0005-0000-0000-0000541F0000}"/>
    <cellStyle name="Normal 9 2 3 6 3 2" xfId="14566" xr:uid="{D3EA47DD-0850-4985-9272-EC6E47CAB4DC}"/>
    <cellStyle name="Normal 9 2 3 6 4" xfId="10348" xr:uid="{A677AE2B-B40A-402F-A92A-5AAEADF6AF32}"/>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4BE5AED4-4C75-445B-9004-240510AD2122}"/>
    <cellStyle name="Normal 9 2 3 7 2 3" xfId="12906" xr:uid="{D62B1D4A-BF9F-47D3-B3B0-BDBCAC572A26}"/>
    <cellStyle name="Normal 9 2 3 7 3" xfId="6537" xr:uid="{00000000-0005-0000-0000-0000581F0000}"/>
    <cellStyle name="Normal 9 2 3 7 3 2" xfId="14979" xr:uid="{8B233067-5309-4881-820C-6FAF17655B21}"/>
    <cellStyle name="Normal 9 2 3 7 4" xfId="10761" xr:uid="{6CB0F53F-999C-440D-90F2-EC59DA549DBC}"/>
    <cellStyle name="Normal 9 2 3 8" xfId="2666" xr:uid="{00000000-0005-0000-0000-0000591F0000}"/>
    <cellStyle name="Normal 9 2 3 8 2" xfId="6950" xr:uid="{00000000-0005-0000-0000-00005A1F0000}"/>
    <cellStyle name="Normal 9 2 3 8 2 2" xfId="15392" xr:uid="{855E19BE-33E6-4427-BE18-E40E1BF6C620}"/>
    <cellStyle name="Normal 9 2 3 8 3" xfId="11174" xr:uid="{3DA027D5-AC86-41B2-8354-24C41DCFE0B1}"/>
    <cellStyle name="Normal 9 2 3 9" xfId="4885" xr:uid="{00000000-0005-0000-0000-00005B1F0000}"/>
    <cellStyle name="Normal 9 2 3 9 2" xfId="13327" xr:uid="{F1041EA2-FD4C-49F3-B723-6B830F05253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0E0AF1E5-7D44-411A-8431-1653FD04CD31}"/>
    <cellStyle name="Normal 9 2 4 2 2 2 3" xfId="11672" xr:uid="{E3303368-A15A-449B-B597-9F23822A2CC5}"/>
    <cellStyle name="Normal 9 2 4 2 2 3" xfId="5303" xr:uid="{00000000-0005-0000-0000-0000611F0000}"/>
    <cellStyle name="Normal 9 2 4 2 2 3 2" xfId="13745" xr:uid="{348F2B23-1C99-45F2-998A-7F31F7456FCF}"/>
    <cellStyle name="Normal 9 2 4 2 2 4" xfId="9527" xr:uid="{97A52ED0-3A3D-4840-B7EB-9B644D183C0D}"/>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0AD6AAE6-FE3E-4A90-BD65-1FF208D125E5}"/>
    <cellStyle name="Normal 9 2 4 2 3 2 3" xfId="12085" xr:uid="{CB92F4B0-1996-4A73-BBD6-F65417818755}"/>
    <cellStyle name="Normal 9 2 4 2 3 3" xfId="5716" xr:uid="{00000000-0005-0000-0000-0000651F0000}"/>
    <cellStyle name="Normal 9 2 4 2 3 3 2" xfId="14158" xr:uid="{E37C01F5-638A-4D8B-8375-54B128A5F371}"/>
    <cellStyle name="Normal 9 2 4 2 3 4" xfId="9940" xr:uid="{1149CF9B-4357-42E3-8484-7841243AF8A7}"/>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051F1428-4881-4B3A-B857-83172FC99E9A}"/>
    <cellStyle name="Normal 9 2 4 2 4 2 3" xfId="12498" xr:uid="{BFA56F58-D717-4841-A672-4F80C22AFCB4}"/>
    <cellStyle name="Normal 9 2 4 2 4 3" xfId="6129" xr:uid="{00000000-0005-0000-0000-0000691F0000}"/>
    <cellStyle name="Normal 9 2 4 2 4 3 2" xfId="14571" xr:uid="{A60C5B7A-5CF2-472C-8F92-28024C095FC3}"/>
    <cellStyle name="Normal 9 2 4 2 4 4" xfId="10353" xr:uid="{CA241B23-8487-4E9C-9DFA-B4531887C135}"/>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8298CA75-1DCB-4E76-8B3B-DB07C0CBA613}"/>
    <cellStyle name="Normal 9 2 4 2 5 2 3" xfId="12911" xr:uid="{6591E82C-EC73-49EC-ADA0-BBFB764973B8}"/>
    <cellStyle name="Normal 9 2 4 2 5 3" xfId="6542" xr:uid="{00000000-0005-0000-0000-00006D1F0000}"/>
    <cellStyle name="Normal 9 2 4 2 5 3 2" xfId="14984" xr:uid="{7A7ADE91-AA40-4993-8375-3095A507AF54}"/>
    <cellStyle name="Normal 9 2 4 2 5 4" xfId="10766" xr:uid="{96810D74-2902-4F97-8B13-3E3BDDC3E605}"/>
    <cellStyle name="Normal 9 2 4 2 6" xfId="2671" xr:uid="{00000000-0005-0000-0000-00006E1F0000}"/>
    <cellStyle name="Normal 9 2 4 2 6 2" xfId="6955" xr:uid="{00000000-0005-0000-0000-00006F1F0000}"/>
    <cellStyle name="Normal 9 2 4 2 6 2 2" xfId="15397" xr:uid="{1CB4A1ED-3266-41EA-AE5E-3CED9D781864}"/>
    <cellStyle name="Normal 9 2 4 2 6 3" xfId="11179" xr:uid="{27928BFF-1F0D-4217-B0D4-1A22E404D0BD}"/>
    <cellStyle name="Normal 9 2 4 2 7" xfId="4890" xr:uid="{00000000-0005-0000-0000-0000701F0000}"/>
    <cellStyle name="Normal 9 2 4 2 7 2" xfId="13332" xr:uid="{97CAF3D0-9944-4175-9947-1786A6DEEBDD}"/>
    <cellStyle name="Normal 9 2 4 2 8" xfId="9114" xr:uid="{48168766-52B0-448E-9C27-C5B46ADC0BA4}"/>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E180E1B9-5108-4822-9751-D762EEE6659C}"/>
    <cellStyle name="Normal 9 2 4 3 2 3" xfId="11671" xr:uid="{8970E74D-4365-4E02-80A9-3BA9FBB0C8B9}"/>
    <cellStyle name="Normal 9 2 4 3 3" xfId="5302" xr:uid="{00000000-0005-0000-0000-0000741F0000}"/>
    <cellStyle name="Normal 9 2 4 3 3 2" xfId="13744" xr:uid="{72AB196A-2B0E-4A5E-A89F-4A735E09B5E7}"/>
    <cellStyle name="Normal 9 2 4 3 4" xfId="9526" xr:uid="{67994518-DCAD-4AE9-9B2B-87C72353B0B8}"/>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243D7EBE-363A-4D8B-9F52-264676D4E22D}"/>
    <cellStyle name="Normal 9 2 4 4 2 3" xfId="12084" xr:uid="{E42A5FA2-1170-4EC0-ACB3-00E3B5456A2B}"/>
    <cellStyle name="Normal 9 2 4 4 3" xfId="5715" xr:uid="{00000000-0005-0000-0000-0000781F0000}"/>
    <cellStyle name="Normal 9 2 4 4 3 2" xfId="14157" xr:uid="{EAED80AF-2981-4B76-A9A8-8C4683741D28}"/>
    <cellStyle name="Normal 9 2 4 4 4" xfId="9939" xr:uid="{01DAB464-5D2E-4906-A894-C3981D3DABE7}"/>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BEACC363-BA25-4C69-907B-6AD2C68B475A}"/>
    <cellStyle name="Normal 9 2 4 5 2 3" xfId="12497" xr:uid="{69226D1C-CB2A-4A8F-BA53-7318D202449F}"/>
    <cellStyle name="Normal 9 2 4 5 3" xfId="6128" xr:uid="{00000000-0005-0000-0000-00007C1F0000}"/>
    <cellStyle name="Normal 9 2 4 5 3 2" xfId="14570" xr:uid="{0B8F3317-B052-4627-A7C1-709CAA851735}"/>
    <cellStyle name="Normal 9 2 4 5 4" xfId="10352" xr:uid="{A005B8D7-4A05-4758-A583-C1B0D1800035}"/>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CBA33245-EF1F-493A-BD2B-027CC9027A3A}"/>
    <cellStyle name="Normal 9 2 4 6 2 3" xfId="12910" xr:uid="{1CCB2EE4-E1F2-4038-84BD-63DD3823DD82}"/>
    <cellStyle name="Normal 9 2 4 6 3" xfId="6541" xr:uid="{00000000-0005-0000-0000-0000801F0000}"/>
    <cellStyle name="Normal 9 2 4 6 3 2" xfId="14983" xr:uid="{0BF6BD96-2CD9-430F-97F7-09BE29F71EA2}"/>
    <cellStyle name="Normal 9 2 4 6 4" xfId="10765" xr:uid="{43140ED5-F383-4148-A490-90238C6BA3AE}"/>
    <cellStyle name="Normal 9 2 4 7" xfId="2670" xr:uid="{00000000-0005-0000-0000-0000811F0000}"/>
    <cellStyle name="Normal 9 2 4 7 2" xfId="6954" xr:uid="{00000000-0005-0000-0000-0000821F0000}"/>
    <cellStyle name="Normal 9 2 4 7 2 2" xfId="15396" xr:uid="{543CB5DE-92C1-4F9D-9F70-B8EC2C34F5E0}"/>
    <cellStyle name="Normal 9 2 4 7 3" xfId="11178" xr:uid="{42509A2E-1273-43E8-B9AD-CDB9D3871251}"/>
    <cellStyle name="Normal 9 2 4 8" xfId="4889" xr:uid="{00000000-0005-0000-0000-0000831F0000}"/>
    <cellStyle name="Normal 9 2 4 8 2" xfId="13331" xr:uid="{C0428FF8-3579-4B1C-81C0-3EFD261BC000}"/>
    <cellStyle name="Normal 9 2 4 9" xfId="9113" xr:uid="{CEF87658-C395-48F6-9BE5-194DAA39636E}"/>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E38F4ADF-9D25-4F45-9D1D-80CE40507E0E}"/>
    <cellStyle name="Normal 9 2 5 2 2 3" xfId="11673" xr:uid="{E029AE49-1451-4AD5-891D-D69627845F26}"/>
    <cellStyle name="Normal 9 2 5 2 3" xfId="5304" xr:uid="{00000000-0005-0000-0000-0000881F0000}"/>
    <cellStyle name="Normal 9 2 5 2 3 2" xfId="13746" xr:uid="{A1DA941B-B40C-4157-93F4-279506E4A44E}"/>
    <cellStyle name="Normal 9 2 5 2 4" xfId="9528" xr:uid="{DA447492-722A-4C31-AD07-18FC35426FDE}"/>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4680C17B-F88D-4EEE-A77D-28BC17F7A894}"/>
    <cellStyle name="Normal 9 2 5 3 2 3" xfId="12086" xr:uid="{26E09D62-2695-4F38-B703-55C198BB624F}"/>
    <cellStyle name="Normal 9 2 5 3 3" xfId="5717" xr:uid="{00000000-0005-0000-0000-00008C1F0000}"/>
    <cellStyle name="Normal 9 2 5 3 3 2" xfId="14159" xr:uid="{C590D6E6-8788-4C35-8B56-D36100FDFCED}"/>
    <cellStyle name="Normal 9 2 5 3 4" xfId="9941" xr:uid="{FA97505E-5078-47C3-9281-94DFBA1D1920}"/>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84A31D4E-05FB-4B3C-8B38-7D0DE6BB6E5A}"/>
    <cellStyle name="Normal 9 2 5 4 2 3" xfId="12499" xr:uid="{019742C8-EFB4-4D64-961D-6D293D86EFEE}"/>
    <cellStyle name="Normal 9 2 5 4 3" xfId="6130" xr:uid="{00000000-0005-0000-0000-0000901F0000}"/>
    <cellStyle name="Normal 9 2 5 4 3 2" xfId="14572" xr:uid="{FFE777D7-D89E-409E-8DFE-E5F1829CA43F}"/>
    <cellStyle name="Normal 9 2 5 4 4" xfId="10354" xr:uid="{B9047C65-23AD-41FD-B605-6ABAC00B89D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984DD8A5-702A-4FF0-A58B-B6DC5761E4BB}"/>
    <cellStyle name="Normal 9 2 5 5 2 3" xfId="12912" xr:uid="{FFFB042B-6340-4D6E-8E04-E65BAE40CB29}"/>
    <cellStyle name="Normal 9 2 5 5 3" xfId="6543" xr:uid="{00000000-0005-0000-0000-0000941F0000}"/>
    <cellStyle name="Normal 9 2 5 5 3 2" xfId="14985" xr:uid="{DAE54046-45DA-43EB-9D58-689944FC223E}"/>
    <cellStyle name="Normal 9 2 5 5 4" xfId="10767" xr:uid="{5C9EB69E-7C3F-4915-B8E8-85D67AE9C8FC}"/>
    <cellStyle name="Normal 9 2 5 6" xfId="2672" xr:uid="{00000000-0005-0000-0000-0000951F0000}"/>
    <cellStyle name="Normal 9 2 5 6 2" xfId="6956" xr:uid="{00000000-0005-0000-0000-0000961F0000}"/>
    <cellStyle name="Normal 9 2 5 6 2 2" xfId="15398" xr:uid="{8481508C-CA48-433F-AF6C-0284598A3260}"/>
    <cellStyle name="Normal 9 2 5 6 3" xfId="11180" xr:uid="{6A330E7F-38E9-4E7E-8F0C-A95B9B11FF0C}"/>
    <cellStyle name="Normal 9 2 5 7" xfId="4891" xr:uid="{00000000-0005-0000-0000-0000971F0000}"/>
    <cellStyle name="Normal 9 2 5 7 2" xfId="13333" xr:uid="{FE816FFB-03DB-4D33-B333-1E408FA1D0A0}"/>
    <cellStyle name="Normal 9 2 5 8" xfId="9115" xr:uid="{5F29C054-FC35-4204-BD08-7165AE09F55F}"/>
    <cellStyle name="Normal 9 2 6" xfId="978" xr:uid="{00000000-0005-0000-0000-0000981F0000}"/>
    <cellStyle name="Normal 9 2 6 2" xfId="3211" xr:uid="{00000000-0005-0000-0000-0000991F0000}"/>
    <cellStyle name="Normal 9 2 6 2 2" xfId="7434" xr:uid="{00000000-0005-0000-0000-00009A1F0000}"/>
    <cellStyle name="Normal 9 2 6 2 2 2" xfId="15876" xr:uid="{4BB77B7F-A6D6-4ACB-9ABB-B629EE1A09CA}"/>
    <cellStyle name="Normal 9 2 6 2 3" xfId="11658" xr:uid="{9D6639F5-A6CD-4477-97D8-8F837E77F9F4}"/>
    <cellStyle name="Normal 9 2 6 3" xfId="5289" xr:uid="{00000000-0005-0000-0000-00009B1F0000}"/>
    <cellStyle name="Normal 9 2 6 3 2" xfId="13731" xr:uid="{3440E6EE-105E-482F-9F8A-99616F0E0881}"/>
    <cellStyle name="Normal 9 2 6 4" xfId="9513" xr:uid="{FD0BB684-B6D2-4967-BEE7-58587DBF8C14}"/>
    <cellStyle name="Normal 9 2 7" xfId="1394" xr:uid="{00000000-0005-0000-0000-00009C1F0000}"/>
    <cellStyle name="Normal 9 2 7 2" xfId="3624" xr:uid="{00000000-0005-0000-0000-00009D1F0000}"/>
    <cellStyle name="Normal 9 2 7 2 2" xfId="7847" xr:uid="{00000000-0005-0000-0000-00009E1F0000}"/>
    <cellStyle name="Normal 9 2 7 2 2 2" xfId="16289" xr:uid="{D1479742-84BF-41B1-BB4D-7B7F9EE0F1E6}"/>
    <cellStyle name="Normal 9 2 7 2 3" xfId="12071" xr:uid="{4F97E3B2-5073-4CC3-8486-86234F01691F}"/>
    <cellStyle name="Normal 9 2 7 3" xfId="5702" xr:uid="{00000000-0005-0000-0000-00009F1F0000}"/>
    <cellStyle name="Normal 9 2 7 3 2" xfId="14144" xr:uid="{3DF43E9C-B456-4923-A22F-0108AE6421BF}"/>
    <cellStyle name="Normal 9 2 7 4" xfId="9926" xr:uid="{32AFE02F-FA7F-4C3B-AB2E-916AC0F6222A}"/>
    <cellStyle name="Normal 9 2 8" xfId="1807" xr:uid="{00000000-0005-0000-0000-0000A01F0000}"/>
    <cellStyle name="Normal 9 2 8 2" xfId="4037" xr:uid="{00000000-0005-0000-0000-0000A11F0000}"/>
    <cellStyle name="Normal 9 2 8 2 2" xfId="8260" xr:uid="{00000000-0005-0000-0000-0000A21F0000}"/>
    <cellStyle name="Normal 9 2 8 2 2 2" xfId="16702" xr:uid="{794F084D-02CB-4330-AA7C-46EF83539458}"/>
    <cellStyle name="Normal 9 2 8 2 3" xfId="12484" xr:uid="{4837D5EF-3E36-4A03-B2DE-52592C8AAFBA}"/>
    <cellStyle name="Normal 9 2 8 3" xfId="6115" xr:uid="{00000000-0005-0000-0000-0000A31F0000}"/>
    <cellStyle name="Normal 9 2 8 3 2" xfId="14557" xr:uid="{0D58A947-4014-480D-B824-0D24536CD2A7}"/>
    <cellStyle name="Normal 9 2 8 4" xfId="10339" xr:uid="{813C5146-ED7B-45F5-B5AB-46E6578CAFEF}"/>
    <cellStyle name="Normal 9 2 9" xfId="2221" xr:uid="{00000000-0005-0000-0000-0000A41F0000}"/>
    <cellStyle name="Normal 9 2 9 2" xfId="4450" xr:uid="{00000000-0005-0000-0000-0000A51F0000}"/>
    <cellStyle name="Normal 9 2 9 2 2" xfId="8673" xr:uid="{00000000-0005-0000-0000-0000A61F0000}"/>
    <cellStyle name="Normal 9 2 9 2 2 2" xfId="17115" xr:uid="{2D9C5195-2ECF-4849-9C69-4C6626746622}"/>
    <cellStyle name="Normal 9 2 9 2 3" xfId="12897" xr:uid="{DE67AB87-C656-4602-9BF1-C7CC5547CEA6}"/>
    <cellStyle name="Normal 9 2 9 3" xfId="6528" xr:uid="{00000000-0005-0000-0000-0000A71F0000}"/>
    <cellStyle name="Normal 9 2 9 3 2" xfId="14970" xr:uid="{5ABF5075-A103-457E-B658-65FCB3B0C3D4}"/>
    <cellStyle name="Normal 9 2 9 4" xfId="10752" xr:uid="{E351C22C-0059-4449-BF2D-341BBF3218B2}"/>
    <cellStyle name="Normal 9 3" xfId="527" xr:uid="{00000000-0005-0000-0000-0000A81F0000}"/>
    <cellStyle name="Normal 9 3 10" xfId="4892" xr:uid="{00000000-0005-0000-0000-0000A91F0000}"/>
    <cellStyle name="Normal 9 3 10 2" xfId="13334" xr:uid="{473E9410-BE0B-4207-A3F9-895BF940C388}"/>
    <cellStyle name="Normal 9 3 11" xfId="9116" xr:uid="{E7337450-66CC-415B-9C13-C3FB100C66D9}"/>
    <cellStyle name="Normal 9 3 2" xfId="528" xr:uid="{00000000-0005-0000-0000-0000AA1F0000}"/>
    <cellStyle name="Normal 9 3 2 10" xfId="9117" xr:uid="{E4F324E5-7FFA-49E0-91B4-02131F774B7C}"/>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C1FFD9E8-5DFB-46F3-BA7F-3C577D8DA731}"/>
    <cellStyle name="Normal 9 3 2 2 2 2 2 3" xfId="11677" xr:uid="{FDF83BA6-D8E3-4711-9DDC-84FEC304FAA4}"/>
    <cellStyle name="Normal 9 3 2 2 2 2 3" xfId="5308" xr:uid="{00000000-0005-0000-0000-0000B01F0000}"/>
    <cellStyle name="Normal 9 3 2 2 2 2 3 2" xfId="13750" xr:uid="{79F80B03-9E76-4170-9DDF-76AB126418DA}"/>
    <cellStyle name="Normal 9 3 2 2 2 2 4" xfId="9532" xr:uid="{F0186216-C13A-4AA8-B712-DFCE91A70AD2}"/>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8AFD55D6-C333-4658-904E-C6A13B41960C}"/>
    <cellStyle name="Normal 9 3 2 2 2 3 2 3" xfId="12090" xr:uid="{3EF5545B-8E4D-4F28-84FF-55122868BE01}"/>
    <cellStyle name="Normal 9 3 2 2 2 3 3" xfId="5721" xr:uid="{00000000-0005-0000-0000-0000B41F0000}"/>
    <cellStyle name="Normal 9 3 2 2 2 3 3 2" xfId="14163" xr:uid="{CA6391B5-9C65-41E4-B061-B7D5757325E9}"/>
    <cellStyle name="Normal 9 3 2 2 2 3 4" xfId="9945" xr:uid="{BE1C51B2-7E23-41A6-8FD0-F7767DF8A0D7}"/>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006F94C7-36BD-4C60-AA52-882CC58C0855}"/>
    <cellStyle name="Normal 9 3 2 2 2 4 2 3" xfId="12503" xr:uid="{E4815AF8-A580-4F5F-BD00-1D6EF569D1E1}"/>
    <cellStyle name="Normal 9 3 2 2 2 4 3" xfId="6134" xr:uid="{00000000-0005-0000-0000-0000B81F0000}"/>
    <cellStyle name="Normal 9 3 2 2 2 4 3 2" xfId="14576" xr:uid="{080640C9-5BB4-4B0E-99C4-C8DEEE1FFF91}"/>
    <cellStyle name="Normal 9 3 2 2 2 4 4" xfId="10358" xr:uid="{8632996E-86B6-4D52-AE68-6BBB1340DE84}"/>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BBD0D12C-E092-4C44-A063-4F131E11C9B2}"/>
    <cellStyle name="Normal 9 3 2 2 2 5 2 3" xfId="12916" xr:uid="{7E178542-C990-4C6F-8826-FC593A171C63}"/>
    <cellStyle name="Normal 9 3 2 2 2 5 3" xfId="6547" xr:uid="{00000000-0005-0000-0000-0000BC1F0000}"/>
    <cellStyle name="Normal 9 3 2 2 2 5 3 2" xfId="14989" xr:uid="{937B3AE6-1DA4-46C1-82A7-8496E2D31471}"/>
    <cellStyle name="Normal 9 3 2 2 2 5 4" xfId="10771" xr:uid="{7DB313EB-195B-4268-AB26-AFC43CC21C03}"/>
    <cellStyle name="Normal 9 3 2 2 2 6" xfId="2676" xr:uid="{00000000-0005-0000-0000-0000BD1F0000}"/>
    <cellStyle name="Normal 9 3 2 2 2 6 2" xfId="6960" xr:uid="{00000000-0005-0000-0000-0000BE1F0000}"/>
    <cellStyle name="Normal 9 3 2 2 2 6 2 2" xfId="15402" xr:uid="{9E879F44-9D16-4D07-B623-1799E711D524}"/>
    <cellStyle name="Normal 9 3 2 2 2 6 3" xfId="11184" xr:uid="{319EE6E4-A5F0-4967-B475-A3AD541436CD}"/>
    <cellStyle name="Normal 9 3 2 2 2 7" xfId="4895" xr:uid="{00000000-0005-0000-0000-0000BF1F0000}"/>
    <cellStyle name="Normal 9 3 2 2 2 7 2" xfId="13337" xr:uid="{0005AE26-30F7-474A-A44B-922BBEE94B54}"/>
    <cellStyle name="Normal 9 3 2 2 2 8" xfId="9119" xr:uid="{6A034FFC-A610-4DE1-85DE-0951869A36D3}"/>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65911875-52DE-4339-AEF8-8E6844033FB5}"/>
    <cellStyle name="Normal 9 3 2 2 3 2 3" xfId="11676" xr:uid="{F8E3A2FC-EF79-4135-BF51-7E47FF102168}"/>
    <cellStyle name="Normal 9 3 2 2 3 3" xfId="5307" xr:uid="{00000000-0005-0000-0000-0000C31F0000}"/>
    <cellStyle name="Normal 9 3 2 2 3 3 2" xfId="13749" xr:uid="{9C5E9E23-AE63-4711-A982-6CADD9D7E81E}"/>
    <cellStyle name="Normal 9 3 2 2 3 4" xfId="9531" xr:uid="{4537DC67-8549-438C-817C-5CFF45AFCB5F}"/>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B165C5E2-882A-4DF4-AEC2-459286B36983}"/>
    <cellStyle name="Normal 9 3 2 2 4 2 3" xfId="12089" xr:uid="{F782C14F-5D6E-4480-B4AA-9DA3C036FCB5}"/>
    <cellStyle name="Normal 9 3 2 2 4 3" xfId="5720" xr:uid="{00000000-0005-0000-0000-0000C71F0000}"/>
    <cellStyle name="Normal 9 3 2 2 4 3 2" xfId="14162" xr:uid="{CE61E2F0-253E-453A-BFAF-E13B63E2B8DA}"/>
    <cellStyle name="Normal 9 3 2 2 4 4" xfId="9944" xr:uid="{CF61200E-512B-450B-96B2-BE2D8D2AF478}"/>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B6349C0D-CEF5-4B4A-AC74-E6057A695AC1}"/>
    <cellStyle name="Normal 9 3 2 2 5 2 3" xfId="12502" xr:uid="{8E2C0F03-D29F-404C-829D-D7A7F0638901}"/>
    <cellStyle name="Normal 9 3 2 2 5 3" xfId="6133" xr:uid="{00000000-0005-0000-0000-0000CB1F0000}"/>
    <cellStyle name="Normal 9 3 2 2 5 3 2" xfId="14575" xr:uid="{7A333FEE-0FB3-4F0C-9F11-BECE8D66FF8E}"/>
    <cellStyle name="Normal 9 3 2 2 5 4" xfId="10357" xr:uid="{B6F55DF5-2D54-415F-9E52-A7721182F4C5}"/>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F89ABA04-6375-4EFA-B8B9-A49CF4CB8E45}"/>
    <cellStyle name="Normal 9 3 2 2 6 2 3" xfId="12915" xr:uid="{CE118C63-FAD2-42D8-9D1D-A592C5A2CC4A}"/>
    <cellStyle name="Normal 9 3 2 2 6 3" xfId="6546" xr:uid="{00000000-0005-0000-0000-0000CF1F0000}"/>
    <cellStyle name="Normal 9 3 2 2 6 3 2" xfId="14988" xr:uid="{E87ECC2A-848B-4B48-8880-E8ACF583F1D0}"/>
    <cellStyle name="Normal 9 3 2 2 6 4" xfId="10770" xr:uid="{4029C057-2640-449B-BC4E-39A72C3BB0A0}"/>
    <cellStyle name="Normal 9 3 2 2 7" xfId="2675" xr:uid="{00000000-0005-0000-0000-0000D01F0000}"/>
    <cellStyle name="Normal 9 3 2 2 7 2" xfId="6959" xr:uid="{00000000-0005-0000-0000-0000D11F0000}"/>
    <cellStyle name="Normal 9 3 2 2 7 2 2" xfId="15401" xr:uid="{3F921E5B-CCE7-4136-8B08-3A4306B4815D}"/>
    <cellStyle name="Normal 9 3 2 2 7 3" xfId="11183" xr:uid="{16A6992C-20A5-4C0D-99C3-9DAFDFCFA306}"/>
    <cellStyle name="Normal 9 3 2 2 8" xfId="4894" xr:uid="{00000000-0005-0000-0000-0000D21F0000}"/>
    <cellStyle name="Normal 9 3 2 2 8 2" xfId="13336" xr:uid="{6A2CD731-0A4A-4217-84DA-93E5C700BA1E}"/>
    <cellStyle name="Normal 9 3 2 2 9" xfId="9118" xr:uid="{35F12EEC-4495-4166-AE69-289E5786584F}"/>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24078983-42EC-450D-91FD-17D19F2401A3}"/>
    <cellStyle name="Normal 9 3 2 3 2 2 3" xfId="11678" xr:uid="{3A910399-850A-42DD-91D9-407F4D9E9520}"/>
    <cellStyle name="Normal 9 3 2 3 2 3" xfId="5309" xr:uid="{00000000-0005-0000-0000-0000D71F0000}"/>
    <cellStyle name="Normal 9 3 2 3 2 3 2" xfId="13751" xr:uid="{3BDE66FD-4684-42D5-8D21-EEBAC3C0C85B}"/>
    <cellStyle name="Normal 9 3 2 3 2 4" xfId="9533" xr:uid="{6CF114DC-384B-415B-8978-8035EAC86711}"/>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DEB98C08-E86E-4995-81FF-1DC2E9A8E592}"/>
    <cellStyle name="Normal 9 3 2 3 3 2 3" xfId="12091" xr:uid="{8E09CD11-3F94-4338-B99D-EE532DA0589E}"/>
    <cellStyle name="Normal 9 3 2 3 3 3" xfId="5722" xr:uid="{00000000-0005-0000-0000-0000DB1F0000}"/>
    <cellStyle name="Normal 9 3 2 3 3 3 2" xfId="14164" xr:uid="{66F48D9B-A786-408D-9975-999144CCC5A9}"/>
    <cellStyle name="Normal 9 3 2 3 3 4" xfId="9946" xr:uid="{E3E9FCAE-5567-40BA-838D-35EF93B7837E}"/>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2B9FA36D-2BBA-422A-8127-D08B3B47FB6D}"/>
    <cellStyle name="Normal 9 3 2 3 4 2 3" xfId="12504" xr:uid="{B082EB91-0EFE-46EA-8D04-FE5A06564DFB}"/>
    <cellStyle name="Normal 9 3 2 3 4 3" xfId="6135" xr:uid="{00000000-0005-0000-0000-0000DF1F0000}"/>
    <cellStyle name="Normal 9 3 2 3 4 3 2" xfId="14577" xr:uid="{9C1D8E40-D854-413D-A26E-738D974622AC}"/>
    <cellStyle name="Normal 9 3 2 3 4 4" xfId="10359" xr:uid="{EAB3FFA1-AD00-4DCD-B77D-F139209DB26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15ACEE11-EF7E-4235-B979-EDE6C9E52217}"/>
    <cellStyle name="Normal 9 3 2 3 5 2 3" xfId="12917" xr:uid="{6E4860E4-4A1E-439F-8834-4FDFA8112256}"/>
    <cellStyle name="Normal 9 3 2 3 5 3" xfId="6548" xr:uid="{00000000-0005-0000-0000-0000E31F0000}"/>
    <cellStyle name="Normal 9 3 2 3 5 3 2" xfId="14990" xr:uid="{8CD6CF80-6CB9-47E9-AB02-9EFFF24519EE}"/>
    <cellStyle name="Normal 9 3 2 3 5 4" xfId="10772" xr:uid="{2E844716-85DC-4CF0-91EF-1D60EEE9A136}"/>
    <cellStyle name="Normal 9 3 2 3 6" xfId="2677" xr:uid="{00000000-0005-0000-0000-0000E41F0000}"/>
    <cellStyle name="Normal 9 3 2 3 6 2" xfId="6961" xr:uid="{00000000-0005-0000-0000-0000E51F0000}"/>
    <cellStyle name="Normal 9 3 2 3 6 2 2" xfId="15403" xr:uid="{C7B46FB9-50D1-4D1A-A739-D0C77638D91B}"/>
    <cellStyle name="Normal 9 3 2 3 6 3" xfId="11185" xr:uid="{EF0FE58F-BD82-40ED-B558-BF46126FAFD4}"/>
    <cellStyle name="Normal 9 3 2 3 7" xfId="4896" xr:uid="{00000000-0005-0000-0000-0000E61F0000}"/>
    <cellStyle name="Normal 9 3 2 3 7 2" xfId="13338" xr:uid="{FE78B6ED-1BB9-4544-879F-6B329FD869CD}"/>
    <cellStyle name="Normal 9 3 2 3 8" xfId="9120" xr:uid="{DEC81656-281C-48CD-B47C-78CF01914F8C}"/>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2220593D-AC5D-4FEF-8FFF-216EEF51CC72}"/>
    <cellStyle name="Normal 9 3 2 4 2 3" xfId="11675" xr:uid="{09982257-51F6-455D-AE50-8B394C0A3006}"/>
    <cellStyle name="Normal 9 3 2 4 3" xfId="5306" xr:uid="{00000000-0005-0000-0000-0000EA1F0000}"/>
    <cellStyle name="Normal 9 3 2 4 3 2" xfId="13748" xr:uid="{5DEB0674-4452-4EEB-A374-B1F28493F01C}"/>
    <cellStyle name="Normal 9 3 2 4 4" xfId="9530" xr:uid="{65B448F2-C556-43E5-A13B-3C6517494105}"/>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AA22C64B-8102-41D6-A199-5CFECCBD06D9}"/>
    <cellStyle name="Normal 9 3 2 5 2 3" xfId="12088" xr:uid="{6FF4D3D0-CF42-42F3-A7F0-496DF498AE27}"/>
    <cellStyle name="Normal 9 3 2 5 3" xfId="5719" xr:uid="{00000000-0005-0000-0000-0000EE1F0000}"/>
    <cellStyle name="Normal 9 3 2 5 3 2" xfId="14161" xr:uid="{1173498C-4185-43F9-8E02-43B29090C9ED}"/>
    <cellStyle name="Normal 9 3 2 5 4" xfId="9943" xr:uid="{9B3DF220-8009-460B-A6C4-72852F626299}"/>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B09F4C37-6C69-4ACD-A609-0C8EB883535E}"/>
    <cellStyle name="Normal 9 3 2 6 2 3" xfId="12501" xr:uid="{C6380BE8-41A1-4AFD-9674-E7F5FC033271}"/>
    <cellStyle name="Normal 9 3 2 6 3" xfId="6132" xr:uid="{00000000-0005-0000-0000-0000F21F0000}"/>
    <cellStyle name="Normal 9 3 2 6 3 2" xfId="14574" xr:uid="{E88946E4-5BC7-4C72-834B-F3210D9324E3}"/>
    <cellStyle name="Normal 9 3 2 6 4" xfId="10356" xr:uid="{957664ED-CDA1-415E-97D6-F8811140A4D5}"/>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8A16CC77-2309-44C6-8BCD-95CA0BF792AF}"/>
    <cellStyle name="Normal 9 3 2 7 2 3" xfId="12914" xr:uid="{9199194F-2971-4E23-981A-3ABA99683AC8}"/>
    <cellStyle name="Normal 9 3 2 7 3" xfId="6545" xr:uid="{00000000-0005-0000-0000-0000F61F0000}"/>
    <cellStyle name="Normal 9 3 2 7 3 2" xfId="14987" xr:uid="{CD1BF6BB-7E84-43AB-86C2-0F87A7A4D9E8}"/>
    <cellStyle name="Normal 9 3 2 7 4" xfId="10769" xr:uid="{33C7ACB7-FAB4-4AD2-B58D-5125A74A73C0}"/>
    <cellStyle name="Normal 9 3 2 8" xfId="2674" xr:uid="{00000000-0005-0000-0000-0000F71F0000}"/>
    <cellStyle name="Normal 9 3 2 8 2" xfId="6958" xr:uid="{00000000-0005-0000-0000-0000F81F0000}"/>
    <cellStyle name="Normal 9 3 2 8 2 2" xfId="15400" xr:uid="{0C3AF0A5-F97D-4C48-AC80-8C7341F138D7}"/>
    <cellStyle name="Normal 9 3 2 8 3" xfId="11182" xr:uid="{9A0B5613-2E09-4394-99CC-8B3F74379603}"/>
    <cellStyle name="Normal 9 3 2 9" xfId="4893" xr:uid="{00000000-0005-0000-0000-0000F91F0000}"/>
    <cellStyle name="Normal 9 3 2 9 2" xfId="13335" xr:uid="{9E17EAAA-4ED9-49F3-8BC5-8CC9F6979F02}"/>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4982B186-0E71-4482-AE9A-526DE23E420C}"/>
    <cellStyle name="Normal 9 3 3 2 2 2 3" xfId="11680" xr:uid="{BAC3312D-76E0-453A-974A-1DDF6DB723E9}"/>
    <cellStyle name="Normal 9 3 3 2 2 3" xfId="5311" xr:uid="{00000000-0005-0000-0000-0000FF1F0000}"/>
    <cellStyle name="Normal 9 3 3 2 2 3 2" xfId="13753" xr:uid="{12E7A067-88EB-4A56-BD7D-35922F0EA277}"/>
    <cellStyle name="Normal 9 3 3 2 2 4" xfId="9535" xr:uid="{50ABCB04-C779-4F49-B0D9-F9249F245017}"/>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C4AC0AAC-D98B-43FF-839B-106B009F780F}"/>
    <cellStyle name="Normal 9 3 3 2 3 2 3" xfId="12093" xr:uid="{0844210B-DD77-41E9-9EDE-5B2F694080DE}"/>
    <cellStyle name="Normal 9 3 3 2 3 3" xfId="5724" xr:uid="{00000000-0005-0000-0000-000003200000}"/>
    <cellStyle name="Normal 9 3 3 2 3 3 2" xfId="14166" xr:uid="{560AF25B-F09E-46FB-909A-228E40D43814}"/>
    <cellStyle name="Normal 9 3 3 2 3 4" xfId="9948" xr:uid="{C1500232-2A8E-4FE7-9969-A5D87728C4CF}"/>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29F217C8-D826-493C-8ABF-B99B34ACC479}"/>
    <cellStyle name="Normal 9 3 3 2 4 2 3" xfId="12506" xr:uid="{5A407A03-7E40-40D7-84EE-87962D2255D4}"/>
    <cellStyle name="Normal 9 3 3 2 4 3" xfId="6137" xr:uid="{00000000-0005-0000-0000-000007200000}"/>
    <cellStyle name="Normal 9 3 3 2 4 3 2" xfId="14579" xr:uid="{B4C7ECFB-D726-4A37-A3CF-0ABD0D2B06C6}"/>
    <cellStyle name="Normal 9 3 3 2 4 4" xfId="10361" xr:uid="{ABAC6F39-CC55-47EE-A48F-B8D3973126A4}"/>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92780A6A-9AC4-45AA-B6A8-AFCD2034BB5A}"/>
    <cellStyle name="Normal 9 3 3 2 5 2 3" xfId="12919" xr:uid="{B153B632-E1D0-4A32-B8B7-EEABAB46383C}"/>
    <cellStyle name="Normal 9 3 3 2 5 3" xfId="6550" xr:uid="{00000000-0005-0000-0000-00000B200000}"/>
    <cellStyle name="Normal 9 3 3 2 5 3 2" xfId="14992" xr:uid="{2644E8D1-F1FD-4552-A6A9-65E3E844422C}"/>
    <cellStyle name="Normal 9 3 3 2 5 4" xfId="10774" xr:uid="{11C834D9-0200-4B68-B17F-1FF4784F9121}"/>
    <cellStyle name="Normal 9 3 3 2 6" xfId="2679" xr:uid="{00000000-0005-0000-0000-00000C200000}"/>
    <cellStyle name="Normal 9 3 3 2 6 2" xfId="6963" xr:uid="{00000000-0005-0000-0000-00000D200000}"/>
    <cellStyle name="Normal 9 3 3 2 6 2 2" xfId="15405" xr:uid="{E77A97B4-0B39-4424-BB3E-CAAF30091720}"/>
    <cellStyle name="Normal 9 3 3 2 6 3" xfId="11187" xr:uid="{E6C0DFC4-6387-4F1C-A888-A54C1EEC5654}"/>
    <cellStyle name="Normal 9 3 3 2 7" xfId="4898" xr:uid="{00000000-0005-0000-0000-00000E200000}"/>
    <cellStyle name="Normal 9 3 3 2 7 2" xfId="13340" xr:uid="{EC5C5B30-DBA8-44A4-AFD9-2F94702ED508}"/>
    <cellStyle name="Normal 9 3 3 2 8" xfId="9122" xr:uid="{92870A54-988D-4446-A0DB-5885330E8D33}"/>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41487FFB-7BB4-43A0-96AE-4F81A05FE7F0}"/>
    <cellStyle name="Normal 9 3 3 3 2 3" xfId="11679" xr:uid="{8CFD8EF5-24C5-413D-8893-9776D805576D}"/>
    <cellStyle name="Normal 9 3 3 3 3" xfId="5310" xr:uid="{00000000-0005-0000-0000-000012200000}"/>
    <cellStyle name="Normal 9 3 3 3 3 2" xfId="13752" xr:uid="{CE8A85E7-9CAD-47C6-BA30-1AD8F6D9BBAA}"/>
    <cellStyle name="Normal 9 3 3 3 4" xfId="9534" xr:uid="{2F0AE45C-FCE8-45C5-92D7-FAF55EC2E2E5}"/>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C6EE0CF2-0826-4868-BDC4-87879BF35F3C}"/>
    <cellStyle name="Normal 9 3 3 4 2 3" xfId="12092" xr:uid="{8A7A9DB2-8BC7-4493-A7E2-7873197BD471}"/>
    <cellStyle name="Normal 9 3 3 4 3" xfId="5723" xr:uid="{00000000-0005-0000-0000-000016200000}"/>
    <cellStyle name="Normal 9 3 3 4 3 2" xfId="14165" xr:uid="{32E1A3A3-3920-4AD8-902B-4687B0EE9B49}"/>
    <cellStyle name="Normal 9 3 3 4 4" xfId="9947" xr:uid="{B1290EC2-A31A-481E-B161-29134D23FC25}"/>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0BE06D6-B0B8-464E-A06A-3A2128FE33F0}"/>
    <cellStyle name="Normal 9 3 3 5 2 3" xfId="12505" xr:uid="{0C767D54-A2DD-4487-9B32-456C18827381}"/>
    <cellStyle name="Normal 9 3 3 5 3" xfId="6136" xr:uid="{00000000-0005-0000-0000-00001A200000}"/>
    <cellStyle name="Normal 9 3 3 5 3 2" xfId="14578" xr:uid="{DB1925FE-4010-4CE5-AA98-DD4A6A11B099}"/>
    <cellStyle name="Normal 9 3 3 5 4" xfId="10360" xr:uid="{726C5820-76F3-438D-97AE-64AF1D2ECD31}"/>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7C49E3EA-9509-4088-8AD6-191679C0D6D2}"/>
    <cellStyle name="Normal 9 3 3 6 2 3" xfId="12918" xr:uid="{E6219F5F-DC55-4F34-ADBA-881E3371C32D}"/>
    <cellStyle name="Normal 9 3 3 6 3" xfId="6549" xr:uid="{00000000-0005-0000-0000-00001E200000}"/>
    <cellStyle name="Normal 9 3 3 6 3 2" xfId="14991" xr:uid="{A84E3793-12B6-44BB-903E-13AA5B808800}"/>
    <cellStyle name="Normal 9 3 3 6 4" xfId="10773" xr:uid="{AF89DC31-8B53-4AFC-A974-987F74CF0578}"/>
    <cellStyle name="Normal 9 3 3 7" xfId="2678" xr:uid="{00000000-0005-0000-0000-00001F200000}"/>
    <cellStyle name="Normal 9 3 3 7 2" xfId="6962" xr:uid="{00000000-0005-0000-0000-000020200000}"/>
    <cellStyle name="Normal 9 3 3 7 2 2" xfId="15404" xr:uid="{33ADA9E7-793E-407B-AB84-31215FAF58E7}"/>
    <cellStyle name="Normal 9 3 3 7 3" xfId="11186" xr:uid="{D7C698E3-CE3A-47CE-9C3C-926BF18EE1B3}"/>
    <cellStyle name="Normal 9 3 3 8" xfId="4897" xr:uid="{00000000-0005-0000-0000-000021200000}"/>
    <cellStyle name="Normal 9 3 3 8 2" xfId="13339" xr:uid="{4BF2D20B-7BF4-447C-A8C8-D27938FD8C10}"/>
    <cellStyle name="Normal 9 3 3 9" xfId="9121" xr:uid="{C81181E2-11E5-4EE7-9CB7-EDD0611650A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79F2FBF2-E9C8-44B0-990C-2C8AE0197BF5}"/>
    <cellStyle name="Normal 9 3 4 2 2 3" xfId="11681" xr:uid="{A659410E-8A42-4B7D-A647-EA94748C2C8E}"/>
    <cellStyle name="Normal 9 3 4 2 3" xfId="5312" xr:uid="{00000000-0005-0000-0000-000026200000}"/>
    <cellStyle name="Normal 9 3 4 2 3 2" xfId="13754" xr:uid="{4B9DA58F-A5BD-4AA8-93A3-D5FF6998CB5D}"/>
    <cellStyle name="Normal 9 3 4 2 4" xfId="9536" xr:uid="{9A8C4699-CC66-470A-8552-BB79DD90E267}"/>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E9658B95-6387-4B2D-BDCD-E50FBA6AB31D}"/>
    <cellStyle name="Normal 9 3 4 3 2 3" xfId="12094" xr:uid="{B5EB7E6B-E975-4AC1-B90D-E7C211049703}"/>
    <cellStyle name="Normal 9 3 4 3 3" xfId="5725" xr:uid="{00000000-0005-0000-0000-00002A200000}"/>
    <cellStyle name="Normal 9 3 4 3 3 2" xfId="14167" xr:uid="{BC4ED451-9D63-464E-9533-CE7BB4ACFEBF}"/>
    <cellStyle name="Normal 9 3 4 3 4" xfId="9949" xr:uid="{300524DA-AE97-4B20-8C0B-3D4081AEF155}"/>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161913F0-FF00-44C8-A2C6-0B139287AD78}"/>
    <cellStyle name="Normal 9 3 4 4 2 3" xfId="12507" xr:uid="{FE950FCF-E835-4B0C-A732-4E5ADC231F59}"/>
    <cellStyle name="Normal 9 3 4 4 3" xfId="6138" xr:uid="{00000000-0005-0000-0000-00002E200000}"/>
    <cellStyle name="Normal 9 3 4 4 3 2" xfId="14580" xr:uid="{F96469B7-B48A-46A2-87CA-E4848BE68ED9}"/>
    <cellStyle name="Normal 9 3 4 4 4" xfId="10362" xr:uid="{D6656AD3-2655-4C92-BB56-D53E197041FA}"/>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5B85DEBB-6DFD-4BD0-904A-9FE7FE5CA25A}"/>
    <cellStyle name="Normal 9 3 4 5 2 3" xfId="12920" xr:uid="{CE9A3D9E-76FB-4D18-84FB-14F3457E08F5}"/>
    <cellStyle name="Normal 9 3 4 5 3" xfId="6551" xr:uid="{00000000-0005-0000-0000-000032200000}"/>
    <cellStyle name="Normal 9 3 4 5 3 2" xfId="14993" xr:uid="{051244AA-7613-48D2-9883-55670CDD95F9}"/>
    <cellStyle name="Normal 9 3 4 5 4" xfId="10775" xr:uid="{881D8BBE-7C0E-45C2-8CBF-0704F7D26238}"/>
    <cellStyle name="Normal 9 3 4 6" xfId="2680" xr:uid="{00000000-0005-0000-0000-000033200000}"/>
    <cellStyle name="Normal 9 3 4 6 2" xfId="6964" xr:uid="{00000000-0005-0000-0000-000034200000}"/>
    <cellStyle name="Normal 9 3 4 6 2 2" xfId="15406" xr:uid="{3D27DCC3-1AB9-496D-BD75-AF72F26F2B94}"/>
    <cellStyle name="Normal 9 3 4 6 3" xfId="11188" xr:uid="{F65737CD-2800-4176-935F-EC43D99D98AC}"/>
    <cellStyle name="Normal 9 3 4 7" xfId="4899" xr:uid="{00000000-0005-0000-0000-000035200000}"/>
    <cellStyle name="Normal 9 3 4 7 2" xfId="13341" xr:uid="{C4AB6805-F92C-45AD-ACD0-F8730D6AC25A}"/>
    <cellStyle name="Normal 9 3 4 8" xfId="9123" xr:uid="{ABE7102E-B7E9-45A2-8E21-5614B45459BB}"/>
    <cellStyle name="Normal 9 3 5" xfId="994" xr:uid="{00000000-0005-0000-0000-000036200000}"/>
    <cellStyle name="Normal 9 3 5 2" xfId="3227" xr:uid="{00000000-0005-0000-0000-000037200000}"/>
    <cellStyle name="Normal 9 3 5 2 2" xfId="7450" xr:uid="{00000000-0005-0000-0000-000038200000}"/>
    <cellStyle name="Normal 9 3 5 2 2 2" xfId="15892" xr:uid="{3BDEE2DF-4039-49EC-9EF4-0EFC3576D1FD}"/>
    <cellStyle name="Normal 9 3 5 2 3" xfId="11674" xr:uid="{DE819677-0A11-49A4-B194-0EAF55B8BD00}"/>
    <cellStyle name="Normal 9 3 5 3" xfId="5305" xr:uid="{00000000-0005-0000-0000-000039200000}"/>
    <cellStyle name="Normal 9 3 5 3 2" xfId="13747" xr:uid="{DC101480-6904-4837-A90B-4F2DF9879FC7}"/>
    <cellStyle name="Normal 9 3 5 4" xfId="9529" xr:uid="{32039E59-BC00-4C89-8FB6-00C7EC44DCC5}"/>
    <cellStyle name="Normal 9 3 6" xfId="1410" xr:uid="{00000000-0005-0000-0000-00003A200000}"/>
    <cellStyle name="Normal 9 3 6 2" xfId="3640" xr:uid="{00000000-0005-0000-0000-00003B200000}"/>
    <cellStyle name="Normal 9 3 6 2 2" xfId="7863" xr:uid="{00000000-0005-0000-0000-00003C200000}"/>
    <cellStyle name="Normal 9 3 6 2 2 2" xfId="16305" xr:uid="{C78E6ADB-5B4E-4215-8BEA-674804A7D6A2}"/>
    <cellStyle name="Normal 9 3 6 2 3" xfId="12087" xr:uid="{7E693AA1-B34E-46A5-863A-71A8F6C606C8}"/>
    <cellStyle name="Normal 9 3 6 3" xfId="5718" xr:uid="{00000000-0005-0000-0000-00003D200000}"/>
    <cellStyle name="Normal 9 3 6 3 2" xfId="14160" xr:uid="{A68AC1BB-63F4-4694-AF6B-C5E8128C53DC}"/>
    <cellStyle name="Normal 9 3 6 4" xfId="9942" xr:uid="{F36FD6F7-94EC-486E-BB15-CD01227FC0CC}"/>
    <cellStyle name="Normal 9 3 7" xfId="1823" xr:uid="{00000000-0005-0000-0000-00003E200000}"/>
    <cellStyle name="Normal 9 3 7 2" xfId="4053" xr:uid="{00000000-0005-0000-0000-00003F200000}"/>
    <cellStyle name="Normal 9 3 7 2 2" xfId="8276" xr:uid="{00000000-0005-0000-0000-000040200000}"/>
    <cellStyle name="Normal 9 3 7 2 2 2" xfId="16718" xr:uid="{7DF2074D-8235-4B04-AE63-276309B873A9}"/>
    <cellStyle name="Normal 9 3 7 2 3" xfId="12500" xr:uid="{72F2483C-42B9-4E08-8319-BF14F9204407}"/>
    <cellStyle name="Normal 9 3 7 3" xfId="6131" xr:uid="{00000000-0005-0000-0000-000041200000}"/>
    <cellStyle name="Normal 9 3 7 3 2" xfId="14573" xr:uid="{FA233D78-78B0-4A06-A531-4E21D2B223A3}"/>
    <cellStyle name="Normal 9 3 7 4" xfId="10355" xr:uid="{4AEBFAA8-2605-448E-8E1B-C10E1FCBDCF1}"/>
    <cellStyle name="Normal 9 3 8" xfId="2237" xr:uid="{00000000-0005-0000-0000-000042200000}"/>
    <cellStyle name="Normal 9 3 8 2" xfId="4466" xr:uid="{00000000-0005-0000-0000-000043200000}"/>
    <cellStyle name="Normal 9 3 8 2 2" xfId="8689" xr:uid="{00000000-0005-0000-0000-000044200000}"/>
    <cellStyle name="Normal 9 3 8 2 2 2" xfId="17131" xr:uid="{D4DD8987-4A83-4C5F-9B14-5CA4E4969ED5}"/>
    <cellStyle name="Normal 9 3 8 2 3" xfId="12913" xr:uid="{D3B175E1-893D-4142-9990-61F0271C0234}"/>
    <cellStyle name="Normal 9 3 8 3" xfId="6544" xr:uid="{00000000-0005-0000-0000-000045200000}"/>
    <cellStyle name="Normal 9 3 8 3 2" xfId="14986" xr:uid="{021FE9F8-B45F-4B02-8BBB-DF21D6F30D17}"/>
    <cellStyle name="Normal 9 3 8 4" xfId="10768" xr:uid="{48156774-DFF6-4404-8A34-FE72464637B0}"/>
    <cellStyle name="Normal 9 3 9" xfId="2673" xr:uid="{00000000-0005-0000-0000-000046200000}"/>
    <cellStyle name="Normal 9 3 9 2" xfId="6957" xr:uid="{00000000-0005-0000-0000-000047200000}"/>
    <cellStyle name="Normal 9 3 9 2 2" xfId="15399" xr:uid="{751500A9-BB1E-4075-805C-A021D9E08D0E}"/>
    <cellStyle name="Normal 9 3 9 3" xfId="11181" xr:uid="{83F356E2-36EE-40C9-8F27-2DE947CB70A7}"/>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D95440DB-20CF-4D67-A2D9-11DCC04756BF}"/>
    <cellStyle name="Normal 9 5 2 2 2 3" xfId="11683" xr:uid="{3659456B-E7CF-44A2-ABC2-59605E78BB44}"/>
    <cellStyle name="Normal 9 5 2 2 3" xfId="5314" xr:uid="{00000000-0005-0000-0000-00004F200000}"/>
    <cellStyle name="Normal 9 5 2 2 3 2" xfId="13756" xr:uid="{F75353D0-C402-47BA-A928-FECA1AFCC34E}"/>
    <cellStyle name="Normal 9 5 2 2 4" xfId="9538" xr:uid="{5FEBDE5D-310D-48F5-BB4B-FC7B319DB708}"/>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B8686E0C-FB7B-4D22-839A-447E4E92A510}"/>
    <cellStyle name="Normal 9 5 2 3 2 3" xfId="12096" xr:uid="{9C02F1ED-D7EF-4AE3-A421-8D1595508991}"/>
    <cellStyle name="Normal 9 5 2 3 3" xfId="5727" xr:uid="{00000000-0005-0000-0000-000053200000}"/>
    <cellStyle name="Normal 9 5 2 3 3 2" xfId="14169" xr:uid="{8E191137-1BD4-4989-A475-923994D4534D}"/>
    <cellStyle name="Normal 9 5 2 3 4" xfId="9951" xr:uid="{E1E22129-D1BB-4456-9063-36BF633FF148}"/>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BBF8A0CC-78D3-4B8F-A00E-8AC8737D26CD}"/>
    <cellStyle name="Normal 9 5 2 4 2 3" xfId="12509" xr:uid="{7DD15CBF-3A10-44E8-B3A0-60D2CAB19CE2}"/>
    <cellStyle name="Normal 9 5 2 4 3" xfId="6140" xr:uid="{00000000-0005-0000-0000-000057200000}"/>
    <cellStyle name="Normal 9 5 2 4 3 2" xfId="14582" xr:uid="{9BC3356D-DFCE-4E16-8A64-EE9B4C9C7C61}"/>
    <cellStyle name="Normal 9 5 2 4 4" xfId="10364" xr:uid="{63ABBCEB-1B34-4ADD-9953-8A4897C304AF}"/>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CBD1CC08-8558-4D8A-87C1-B11047A318E1}"/>
    <cellStyle name="Normal 9 5 2 5 2 3" xfId="12922" xr:uid="{C3B1D9EA-FFC5-401C-AFCB-874AF71B094D}"/>
    <cellStyle name="Normal 9 5 2 5 3" xfId="6553" xr:uid="{00000000-0005-0000-0000-00005B200000}"/>
    <cellStyle name="Normal 9 5 2 5 3 2" xfId="14995" xr:uid="{2549FF9A-BAE1-499D-A69B-821765CEB88F}"/>
    <cellStyle name="Normal 9 5 2 5 4" xfId="10777" xr:uid="{9BB28681-07C6-471B-8090-73B732562858}"/>
    <cellStyle name="Normal 9 5 2 6" xfId="2682" xr:uid="{00000000-0005-0000-0000-00005C200000}"/>
    <cellStyle name="Normal 9 5 2 6 2" xfId="6966" xr:uid="{00000000-0005-0000-0000-00005D200000}"/>
    <cellStyle name="Normal 9 5 2 6 2 2" xfId="15408" xr:uid="{C11778E7-19DD-4E0C-A452-7B9086CA58BC}"/>
    <cellStyle name="Normal 9 5 2 6 3" xfId="11190" xr:uid="{CCD1D24E-DFBA-4C5E-84C6-F0DA49664A28}"/>
    <cellStyle name="Normal 9 5 2 7" xfId="4901" xr:uid="{00000000-0005-0000-0000-00005E200000}"/>
    <cellStyle name="Normal 9 5 2 7 2" xfId="13343" xr:uid="{C2674F01-3CD0-482E-999B-7D85F07741F3}"/>
    <cellStyle name="Normal 9 5 2 8" xfId="9125" xr:uid="{352A8F9F-8707-400C-8039-EE3BB9F8DABB}"/>
    <cellStyle name="Normal 9 5 3" xfId="1003" xr:uid="{00000000-0005-0000-0000-00005F200000}"/>
    <cellStyle name="Normal 9 5 3 2" xfId="3235" xr:uid="{00000000-0005-0000-0000-000060200000}"/>
    <cellStyle name="Normal 9 5 3 2 2" xfId="7458" xr:uid="{00000000-0005-0000-0000-000061200000}"/>
    <cellStyle name="Normal 9 5 3 2 2 2" xfId="15900" xr:uid="{89F60CFB-A730-419F-B600-25631311FD11}"/>
    <cellStyle name="Normal 9 5 3 2 3" xfId="11682" xr:uid="{05995506-B0F0-4330-BE90-C2F7DBD10DA4}"/>
    <cellStyle name="Normal 9 5 3 3" xfId="5313" xr:uid="{00000000-0005-0000-0000-000062200000}"/>
    <cellStyle name="Normal 9 5 3 3 2" xfId="13755" xr:uid="{48C1FD91-4744-4579-9DB1-E9A27C71B011}"/>
    <cellStyle name="Normal 9 5 3 4" xfId="9537" xr:uid="{F23C862C-8EDD-42CA-8350-A937AA3A70DE}"/>
    <cellStyle name="Normal 9 5 4" xfId="1418" xr:uid="{00000000-0005-0000-0000-000063200000}"/>
    <cellStyle name="Normal 9 5 4 2" xfId="3648" xr:uid="{00000000-0005-0000-0000-000064200000}"/>
    <cellStyle name="Normal 9 5 4 2 2" xfId="7871" xr:uid="{00000000-0005-0000-0000-000065200000}"/>
    <cellStyle name="Normal 9 5 4 2 2 2" xfId="16313" xr:uid="{BE072D6F-B3CA-4B73-801C-B29F29D77A4F}"/>
    <cellStyle name="Normal 9 5 4 2 3" xfId="12095" xr:uid="{35449919-0A4E-4278-9A55-768092A956FC}"/>
    <cellStyle name="Normal 9 5 4 3" xfId="5726" xr:uid="{00000000-0005-0000-0000-000066200000}"/>
    <cellStyle name="Normal 9 5 4 3 2" xfId="14168" xr:uid="{348C9EA9-7206-47C8-A06D-51E70A6820A5}"/>
    <cellStyle name="Normal 9 5 4 4" xfId="9950" xr:uid="{F071002E-6DC1-4A7D-92CB-76DFCFFF608C}"/>
    <cellStyle name="Normal 9 5 5" xfId="1831" xr:uid="{00000000-0005-0000-0000-000067200000}"/>
    <cellStyle name="Normal 9 5 5 2" xfId="4061" xr:uid="{00000000-0005-0000-0000-000068200000}"/>
    <cellStyle name="Normal 9 5 5 2 2" xfId="8284" xr:uid="{00000000-0005-0000-0000-000069200000}"/>
    <cellStyle name="Normal 9 5 5 2 2 2" xfId="16726" xr:uid="{85B4E78B-27E2-4D69-8A28-FFAEB8D3AA24}"/>
    <cellStyle name="Normal 9 5 5 2 3" xfId="12508" xr:uid="{F8C6B46A-3405-43A1-9D51-DF4ED4B3A1C0}"/>
    <cellStyle name="Normal 9 5 5 3" xfId="6139" xr:uid="{00000000-0005-0000-0000-00006A200000}"/>
    <cellStyle name="Normal 9 5 5 3 2" xfId="14581" xr:uid="{7D6F9448-21A1-4624-AF27-466AF22CB358}"/>
    <cellStyle name="Normal 9 5 5 4" xfId="10363" xr:uid="{8F536FC8-482C-4EB2-B96D-104498D09928}"/>
    <cellStyle name="Normal 9 5 6" xfId="2245" xr:uid="{00000000-0005-0000-0000-00006B200000}"/>
    <cellStyle name="Normal 9 5 6 2" xfId="4474" xr:uid="{00000000-0005-0000-0000-00006C200000}"/>
    <cellStyle name="Normal 9 5 6 2 2" xfId="8697" xr:uid="{00000000-0005-0000-0000-00006D200000}"/>
    <cellStyle name="Normal 9 5 6 2 2 2" xfId="17139" xr:uid="{CD1E218C-F586-4A11-83C6-204449299020}"/>
    <cellStyle name="Normal 9 5 6 2 3" xfId="12921" xr:uid="{2BA80A96-F222-4C88-A6CC-29B76AD68AA3}"/>
    <cellStyle name="Normal 9 5 6 3" xfId="6552" xr:uid="{00000000-0005-0000-0000-00006E200000}"/>
    <cellStyle name="Normal 9 5 6 3 2" xfId="14994" xr:uid="{A1D1EAA7-5048-4A5D-99CE-4329A5761745}"/>
    <cellStyle name="Normal 9 5 6 4" xfId="10776" xr:uid="{824546E7-4548-46A5-A1FB-D75FEA939AF7}"/>
    <cellStyle name="Normal 9 5 7" xfId="2681" xr:uid="{00000000-0005-0000-0000-00006F200000}"/>
    <cellStyle name="Normal 9 5 7 2" xfId="6965" xr:uid="{00000000-0005-0000-0000-000070200000}"/>
    <cellStyle name="Normal 9 5 7 2 2" xfId="15407" xr:uid="{6497D1AD-85ED-4B56-932C-6CB71A693F82}"/>
    <cellStyle name="Normal 9 5 7 3" xfId="11189" xr:uid="{A30B4E95-89B2-4F72-987D-507FAB8FA813}"/>
    <cellStyle name="Normal 9 5 8" xfId="4900" xr:uid="{00000000-0005-0000-0000-000071200000}"/>
    <cellStyle name="Normal 9 5 8 2" xfId="13342" xr:uid="{6474767A-8E20-49A3-B11F-E8D3E01430DB}"/>
    <cellStyle name="Normal 9 5 9" xfId="9124" xr:uid="{01B05FE1-8513-4756-8336-470F159EF70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82A45A4C-98E6-430C-9128-7047E3AE4F2C}"/>
    <cellStyle name="Normal 9 6 2 2 3" xfId="11684" xr:uid="{31DF798A-155A-4875-AF03-E7C95A4F8F60}"/>
    <cellStyle name="Normal 9 6 2 3" xfId="5315" xr:uid="{00000000-0005-0000-0000-000076200000}"/>
    <cellStyle name="Normal 9 6 2 3 2" xfId="13757" xr:uid="{B1E1A7A9-5E05-44EE-A676-2330B9538AAF}"/>
    <cellStyle name="Normal 9 6 2 4" xfId="9539" xr:uid="{63EA122D-0511-4EF7-A333-75876D2CBDBD}"/>
    <cellStyle name="Normal 9 6 3" xfId="1420" xr:uid="{00000000-0005-0000-0000-000077200000}"/>
    <cellStyle name="Normal 9 6 3 2" xfId="3650" xr:uid="{00000000-0005-0000-0000-000078200000}"/>
    <cellStyle name="Normal 9 6 3 2 2" xfId="7873" xr:uid="{00000000-0005-0000-0000-000079200000}"/>
    <cellStyle name="Normal 9 6 3 2 2 2" xfId="16315" xr:uid="{BF727FAC-0840-4405-87CF-B67AAD86B75D}"/>
    <cellStyle name="Normal 9 6 3 2 3" xfId="12097" xr:uid="{75769352-E55C-4C9E-8D82-4A7027B3D8D0}"/>
    <cellStyle name="Normal 9 6 3 3" xfId="5728" xr:uid="{00000000-0005-0000-0000-00007A200000}"/>
    <cellStyle name="Normal 9 6 3 3 2" xfId="14170" xr:uid="{707AF887-5C22-4DF5-A94C-E85A2D698117}"/>
    <cellStyle name="Normal 9 6 3 4" xfId="9952" xr:uid="{CD0E3099-3C64-4C53-98EA-51A00F96D4C8}"/>
    <cellStyle name="Normal 9 6 4" xfId="1833" xr:uid="{00000000-0005-0000-0000-00007B200000}"/>
    <cellStyle name="Normal 9 6 4 2" xfId="4063" xr:uid="{00000000-0005-0000-0000-00007C200000}"/>
    <cellStyle name="Normal 9 6 4 2 2" xfId="8286" xr:uid="{00000000-0005-0000-0000-00007D200000}"/>
    <cellStyle name="Normal 9 6 4 2 2 2" xfId="16728" xr:uid="{EED40A00-9F08-4E80-8E91-02DB118F8F03}"/>
    <cellStyle name="Normal 9 6 4 2 3" xfId="12510" xr:uid="{4CCB12C4-1478-4082-9464-F6B8A3FA2505}"/>
    <cellStyle name="Normal 9 6 4 3" xfId="6141" xr:uid="{00000000-0005-0000-0000-00007E200000}"/>
    <cellStyle name="Normal 9 6 4 3 2" xfId="14583" xr:uid="{A861BDD2-6E45-4714-9A84-660D7CC3C0F6}"/>
    <cellStyle name="Normal 9 6 4 4" xfId="10365" xr:uid="{E148D0E4-62BE-4F03-BDA7-92FB86399386}"/>
    <cellStyle name="Normal 9 6 5" xfId="2247" xr:uid="{00000000-0005-0000-0000-00007F200000}"/>
    <cellStyle name="Normal 9 6 5 2" xfId="4476" xr:uid="{00000000-0005-0000-0000-000080200000}"/>
    <cellStyle name="Normal 9 6 5 2 2" xfId="8699" xr:uid="{00000000-0005-0000-0000-000081200000}"/>
    <cellStyle name="Normal 9 6 5 2 2 2" xfId="17141" xr:uid="{6951F493-DE7F-45CD-A02E-E631D29ED72B}"/>
    <cellStyle name="Normal 9 6 5 2 3" xfId="12923" xr:uid="{B19CE5EC-A0BE-4644-B7E9-1DFE4929AB69}"/>
    <cellStyle name="Normal 9 6 5 3" xfId="6554" xr:uid="{00000000-0005-0000-0000-000082200000}"/>
    <cellStyle name="Normal 9 6 5 3 2" xfId="14996" xr:uid="{8DA1FD13-D573-4227-97E2-D8B61D5A40F6}"/>
    <cellStyle name="Normal 9 6 5 4" xfId="10778" xr:uid="{319D169E-EADB-414F-9356-FDE2A13DB96B}"/>
    <cellStyle name="Normal 9 6 6" xfId="2683" xr:uid="{00000000-0005-0000-0000-000083200000}"/>
    <cellStyle name="Normal 9 6 6 2" xfId="6967" xr:uid="{00000000-0005-0000-0000-000084200000}"/>
    <cellStyle name="Normal 9 6 6 2 2" xfId="15409" xr:uid="{140A85EC-8790-4EB3-AFB1-EF1BF4B8CA49}"/>
    <cellStyle name="Normal 9 6 6 3" xfId="11191" xr:uid="{F9C6C878-CD0F-46D7-9844-D7C3CAB5265E}"/>
    <cellStyle name="Normal 9 6 7" xfId="4902" xr:uid="{00000000-0005-0000-0000-000085200000}"/>
    <cellStyle name="Normal 9 6 7 2" xfId="13344" xr:uid="{A8F0722B-81DA-498C-8D71-51DBC1018DCE}"/>
    <cellStyle name="Normal 9 6 8" xfId="9126" xr:uid="{395367C4-37FC-4AB1-AEBE-A69112061111}"/>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CB7EE74A-170C-4D52-A2B3-D0EBEDD6B509}"/>
    <cellStyle name="Note 2 2 10 3" xfId="11272" xr:uid="{5923524F-1D57-400A-AC01-BD79A1D6F3CA}"/>
    <cellStyle name="Note 2 2 11" xfId="4903" xr:uid="{00000000-0005-0000-0000-000094200000}"/>
    <cellStyle name="Note 2 2 11 2" xfId="13345" xr:uid="{E39FBA78-52F4-4A3F-850E-4523A51DF686}"/>
    <cellStyle name="Note 2 2 12" xfId="9127" xr:uid="{D7333381-461D-4718-BD78-6CA94539CC24}"/>
    <cellStyle name="Note 2 2 2" xfId="546" xr:uid="{00000000-0005-0000-0000-000095200000}"/>
    <cellStyle name="Note 2 2 2 10" xfId="4904" xr:uid="{00000000-0005-0000-0000-000096200000}"/>
    <cellStyle name="Note 2 2 2 10 2" xfId="13346" xr:uid="{C8C17F00-D17F-4A4B-A663-56D6977D1AFD}"/>
    <cellStyle name="Note 2 2 2 11" xfId="9128" xr:uid="{640721A4-6AC5-4F76-B668-45BB487895D0}"/>
    <cellStyle name="Note 2 2 2 2" xfId="547" xr:uid="{00000000-0005-0000-0000-000097200000}"/>
    <cellStyle name="Note 2 2 2 2 10" xfId="9129" xr:uid="{EEC2EB4C-0BB0-4849-B276-7A5ECA89A7FA}"/>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9124799B-CCC1-4E1C-AA8F-72E70C98650F}"/>
    <cellStyle name="Note 2 2 2 2 2 2 3" xfId="11687" xr:uid="{C4F19C3D-41C4-4940-9DAB-62C659107414}"/>
    <cellStyle name="Note 2 2 2 2 2 3" xfId="5318" xr:uid="{00000000-0005-0000-0000-00009B200000}"/>
    <cellStyle name="Note 2 2 2 2 2 3 2" xfId="13760" xr:uid="{93F5A89E-36E0-42D7-8D57-D0F7976A8F2A}"/>
    <cellStyle name="Note 2 2 2 2 2 4" xfId="9542" xr:uid="{7672E5E8-406A-48C6-90D8-057DB8E6C9E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AF73686B-C92A-42FC-B299-B24733E4DD3C}"/>
    <cellStyle name="Note 2 2 2 2 3 2 3" xfId="12100" xr:uid="{48CAC200-B3A3-48BC-873D-E2E914E642C2}"/>
    <cellStyle name="Note 2 2 2 2 3 3" xfId="5731" xr:uid="{00000000-0005-0000-0000-00009F200000}"/>
    <cellStyle name="Note 2 2 2 2 3 3 2" xfId="14173" xr:uid="{BA189650-8932-4329-AD6A-9CEC7468A05E}"/>
    <cellStyle name="Note 2 2 2 2 3 4" xfId="9955" xr:uid="{F996F382-87F1-49D7-A2AE-A798C6D0F8F6}"/>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899AD85-B2C3-4BCF-86D7-D7855244FC3B}"/>
    <cellStyle name="Note 2 2 2 2 4 2 3" xfId="12513" xr:uid="{C2852687-A7B9-4002-B70F-B4F22F635D00}"/>
    <cellStyle name="Note 2 2 2 2 4 3" xfId="6144" xr:uid="{00000000-0005-0000-0000-0000A3200000}"/>
    <cellStyle name="Note 2 2 2 2 4 3 2" xfId="14586" xr:uid="{7C9E3AB0-B43D-418A-96B8-CFFA85025D00}"/>
    <cellStyle name="Note 2 2 2 2 4 4" xfId="10368" xr:uid="{687CB753-176D-4D5D-A77D-78CA36A5B6B0}"/>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CFEDD1A4-EB05-4C1C-96BE-BDF7D9E1BD68}"/>
    <cellStyle name="Note 2 2 2 2 5 2 3" xfId="12926" xr:uid="{AED55C6F-ED88-46B1-B250-541A3D8F6F07}"/>
    <cellStyle name="Note 2 2 2 2 5 3" xfId="6557" xr:uid="{00000000-0005-0000-0000-0000A7200000}"/>
    <cellStyle name="Note 2 2 2 2 5 3 2" xfId="14999" xr:uid="{8C489392-F5C6-413C-9240-F978272AAE52}"/>
    <cellStyle name="Note 2 2 2 2 5 4" xfId="10781" xr:uid="{3477818F-E649-4E9C-92F2-C5354D1C70FA}"/>
    <cellStyle name="Note 2 2 2 2 6" xfId="2686" xr:uid="{00000000-0005-0000-0000-0000A8200000}"/>
    <cellStyle name="Note 2 2 2 2 6 2" xfId="6970" xr:uid="{00000000-0005-0000-0000-0000A9200000}"/>
    <cellStyle name="Note 2 2 2 2 6 2 2" xfId="15412" xr:uid="{445CC2A3-84B3-46DA-9A0B-0BCB7C60BD63}"/>
    <cellStyle name="Note 2 2 2 2 6 3" xfId="11194" xr:uid="{C689BA54-EC40-4866-AC06-806D8A5629B6}"/>
    <cellStyle name="Note 2 2 2 2 7" xfId="2745" xr:uid="{00000000-0005-0000-0000-0000AA200000}"/>
    <cellStyle name="Note 2 2 2 2 8" xfId="2826" xr:uid="{00000000-0005-0000-0000-0000AB200000}"/>
    <cellStyle name="Note 2 2 2 2 8 2" xfId="7050" xr:uid="{00000000-0005-0000-0000-0000AC200000}"/>
    <cellStyle name="Note 2 2 2 2 8 2 2" xfId="15492" xr:uid="{7F6EF0CA-55B9-4512-8BBE-F5EDB0AC87C9}"/>
    <cellStyle name="Note 2 2 2 2 8 3" xfId="11274" xr:uid="{457A97CA-F01B-4535-8E86-3283B3EE51AA}"/>
    <cellStyle name="Note 2 2 2 2 9" xfId="4905" xr:uid="{00000000-0005-0000-0000-0000AD200000}"/>
    <cellStyle name="Note 2 2 2 2 9 2" xfId="13347" xr:uid="{8D6742FE-4DC7-48A2-93E8-28FAA26AF9A0}"/>
    <cellStyle name="Note 2 2 2 3" xfId="1007" xr:uid="{00000000-0005-0000-0000-0000AE200000}"/>
    <cellStyle name="Note 2 2 2 3 2" xfId="3239" xr:uid="{00000000-0005-0000-0000-0000AF200000}"/>
    <cellStyle name="Note 2 2 2 3 2 2" xfId="7462" xr:uid="{00000000-0005-0000-0000-0000B0200000}"/>
    <cellStyle name="Note 2 2 2 3 2 2 2" xfId="15904" xr:uid="{142CF2BD-2BB7-4064-BB18-0C7016FC81CA}"/>
    <cellStyle name="Note 2 2 2 3 2 3" xfId="11686" xr:uid="{19C4A5C2-8E3B-43AA-80D2-6F680DB63F71}"/>
    <cellStyle name="Note 2 2 2 3 3" xfId="5317" xr:uid="{00000000-0005-0000-0000-0000B1200000}"/>
    <cellStyle name="Note 2 2 2 3 3 2" xfId="13759" xr:uid="{60C9A88C-75F3-4353-BAE0-B98D1AA33E89}"/>
    <cellStyle name="Note 2 2 2 3 4" xfId="9541" xr:uid="{4D1EC2E5-06FE-4ABF-980E-8C36C9991262}"/>
    <cellStyle name="Note 2 2 2 4" xfId="1422" xr:uid="{00000000-0005-0000-0000-0000B2200000}"/>
    <cellStyle name="Note 2 2 2 4 2" xfId="3652" xr:uid="{00000000-0005-0000-0000-0000B3200000}"/>
    <cellStyle name="Note 2 2 2 4 2 2" xfId="7875" xr:uid="{00000000-0005-0000-0000-0000B4200000}"/>
    <cellStyle name="Note 2 2 2 4 2 2 2" xfId="16317" xr:uid="{F3EC7457-C629-4DBE-BE46-7CFB230D1BCD}"/>
    <cellStyle name="Note 2 2 2 4 2 3" xfId="12099" xr:uid="{910EB8BD-9D49-4FEB-93A4-0E8DE7D8C671}"/>
    <cellStyle name="Note 2 2 2 4 3" xfId="5730" xr:uid="{00000000-0005-0000-0000-0000B5200000}"/>
    <cellStyle name="Note 2 2 2 4 3 2" xfId="14172" xr:uid="{355AE98B-101F-48A9-8827-1A30334F42D4}"/>
    <cellStyle name="Note 2 2 2 4 4" xfId="9954" xr:uid="{81421295-FD9C-4EA7-97B5-1AEA0F61BFB5}"/>
    <cellStyle name="Note 2 2 2 5" xfId="1836" xr:uid="{00000000-0005-0000-0000-0000B6200000}"/>
    <cellStyle name="Note 2 2 2 5 2" xfId="4065" xr:uid="{00000000-0005-0000-0000-0000B7200000}"/>
    <cellStyle name="Note 2 2 2 5 2 2" xfId="8288" xr:uid="{00000000-0005-0000-0000-0000B8200000}"/>
    <cellStyle name="Note 2 2 2 5 2 2 2" xfId="16730" xr:uid="{FEC857B1-BC13-4335-9959-353BE94802DA}"/>
    <cellStyle name="Note 2 2 2 5 2 3" xfId="12512" xr:uid="{63B2A513-4C71-4EBA-A747-63582FC5D763}"/>
    <cellStyle name="Note 2 2 2 5 3" xfId="6143" xr:uid="{00000000-0005-0000-0000-0000B9200000}"/>
    <cellStyle name="Note 2 2 2 5 3 2" xfId="14585" xr:uid="{E021BD8D-0470-48DA-B966-6A784C7848DF}"/>
    <cellStyle name="Note 2 2 2 5 4" xfId="10367" xr:uid="{38E2B14A-4C83-460E-91ED-25E012D9643F}"/>
    <cellStyle name="Note 2 2 2 6" xfId="2249" xr:uid="{00000000-0005-0000-0000-0000BA200000}"/>
    <cellStyle name="Note 2 2 2 6 2" xfId="4478" xr:uid="{00000000-0005-0000-0000-0000BB200000}"/>
    <cellStyle name="Note 2 2 2 6 2 2" xfId="8701" xr:uid="{00000000-0005-0000-0000-0000BC200000}"/>
    <cellStyle name="Note 2 2 2 6 2 2 2" xfId="17143" xr:uid="{8D5F10D1-E885-4DA8-A026-57A6CA7CF761}"/>
    <cellStyle name="Note 2 2 2 6 2 3" xfId="12925" xr:uid="{98E57634-038F-428D-92D0-56D79A844B93}"/>
    <cellStyle name="Note 2 2 2 6 3" xfId="6556" xr:uid="{00000000-0005-0000-0000-0000BD200000}"/>
    <cellStyle name="Note 2 2 2 6 3 2" xfId="14998" xr:uid="{29CB24D3-217C-4AF2-9327-3EEC96CD60AF}"/>
    <cellStyle name="Note 2 2 2 6 4" xfId="10780" xr:uid="{572EF7A6-87F7-4DD5-8E6F-8E6F84DE21E9}"/>
    <cellStyle name="Note 2 2 2 7" xfId="2685" xr:uid="{00000000-0005-0000-0000-0000BE200000}"/>
    <cellStyle name="Note 2 2 2 7 2" xfId="6969" xr:uid="{00000000-0005-0000-0000-0000BF200000}"/>
    <cellStyle name="Note 2 2 2 7 2 2" xfId="15411" xr:uid="{52F008B3-3B2B-4EB5-9715-6EE4537CECDF}"/>
    <cellStyle name="Note 2 2 2 7 3" xfId="11193" xr:uid="{8C6098D1-1230-44D3-AC05-B4FC2E94D299}"/>
    <cellStyle name="Note 2 2 2 8" xfId="2744" xr:uid="{00000000-0005-0000-0000-0000C0200000}"/>
    <cellStyle name="Note 2 2 2 9" xfId="2825" xr:uid="{00000000-0005-0000-0000-0000C1200000}"/>
    <cellStyle name="Note 2 2 2 9 2" xfId="7049" xr:uid="{00000000-0005-0000-0000-0000C2200000}"/>
    <cellStyle name="Note 2 2 2 9 2 2" xfId="15491" xr:uid="{CFBE7157-9046-42CA-AE45-0D7937F38FFA}"/>
    <cellStyle name="Note 2 2 2 9 3" xfId="11273" xr:uid="{7886D864-C919-4F9F-ABDB-98A4FF6EDA4B}"/>
    <cellStyle name="Note 2 2 3" xfId="548" xr:uid="{00000000-0005-0000-0000-0000C3200000}"/>
    <cellStyle name="Note 2 2 3 10" xfId="9130" xr:uid="{067AC67D-4B84-4098-B614-508637FC5328}"/>
    <cellStyle name="Note 2 2 3 2" xfId="1009" xr:uid="{00000000-0005-0000-0000-0000C4200000}"/>
    <cellStyle name="Note 2 2 3 2 2" xfId="3241" xr:uid="{00000000-0005-0000-0000-0000C5200000}"/>
    <cellStyle name="Note 2 2 3 2 2 2" xfId="7464" xr:uid="{00000000-0005-0000-0000-0000C6200000}"/>
    <cellStyle name="Note 2 2 3 2 2 2 2" xfId="15906" xr:uid="{689A3D40-AA3B-452E-B888-84F70B14E713}"/>
    <cellStyle name="Note 2 2 3 2 2 3" xfId="11688" xr:uid="{716A8791-E2C1-451D-BC90-A59CC02F3255}"/>
    <cellStyle name="Note 2 2 3 2 3" xfId="5319" xr:uid="{00000000-0005-0000-0000-0000C7200000}"/>
    <cellStyle name="Note 2 2 3 2 3 2" xfId="13761" xr:uid="{6FF00E59-BAAB-4593-A608-B5BB338F0900}"/>
    <cellStyle name="Note 2 2 3 2 4" xfId="9543" xr:uid="{96957E53-A8B6-40A4-BFF6-942A08C18ED1}"/>
    <cellStyle name="Note 2 2 3 3" xfId="1424" xr:uid="{00000000-0005-0000-0000-0000C8200000}"/>
    <cellStyle name="Note 2 2 3 3 2" xfId="3654" xr:uid="{00000000-0005-0000-0000-0000C9200000}"/>
    <cellStyle name="Note 2 2 3 3 2 2" xfId="7877" xr:uid="{00000000-0005-0000-0000-0000CA200000}"/>
    <cellStyle name="Note 2 2 3 3 2 2 2" xfId="16319" xr:uid="{2331BC06-BE31-496B-B10C-C111725EC69D}"/>
    <cellStyle name="Note 2 2 3 3 2 3" xfId="12101" xr:uid="{F296DE49-FD36-42C5-9138-1379F0790338}"/>
    <cellStyle name="Note 2 2 3 3 3" xfId="5732" xr:uid="{00000000-0005-0000-0000-0000CB200000}"/>
    <cellStyle name="Note 2 2 3 3 3 2" xfId="14174" xr:uid="{5AFE976D-17D7-4668-A98F-F1ACEF02B5A0}"/>
    <cellStyle name="Note 2 2 3 3 4" xfId="9956" xr:uid="{8295131B-A678-4286-8E2B-BEC867B925D4}"/>
    <cellStyle name="Note 2 2 3 4" xfId="1838" xr:uid="{00000000-0005-0000-0000-0000CC200000}"/>
    <cellStyle name="Note 2 2 3 4 2" xfId="4067" xr:uid="{00000000-0005-0000-0000-0000CD200000}"/>
    <cellStyle name="Note 2 2 3 4 2 2" xfId="8290" xr:uid="{00000000-0005-0000-0000-0000CE200000}"/>
    <cellStyle name="Note 2 2 3 4 2 2 2" xfId="16732" xr:uid="{4A42FB0F-ED90-4309-8BC7-A27A306B769E}"/>
    <cellStyle name="Note 2 2 3 4 2 3" xfId="12514" xr:uid="{7F5BFAEF-BB86-477D-9414-04A142B102C9}"/>
    <cellStyle name="Note 2 2 3 4 3" xfId="6145" xr:uid="{00000000-0005-0000-0000-0000CF200000}"/>
    <cellStyle name="Note 2 2 3 4 3 2" xfId="14587" xr:uid="{F580DB35-0145-404B-9730-76771F43E484}"/>
    <cellStyle name="Note 2 2 3 4 4" xfId="10369" xr:uid="{29F2D8B1-2734-4A66-8A46-B2F8BB798DFC}"/>
    <cellStyle name="Note 2 2 3 5" xfId="2251" xr:uid="{00000000-0005-0000-0000-0000D0200000}"/>
    <cellStyle name="Note 2 2 3 5 2" xfId="4480" xr:uid="{00000000-0005-0000-0000-0000D1200000}"/>
    <cellStyle name="Note 2 2 3 5 2 2" xfId="8703" xr:uid="{00000000-0005-0000-0000-0000D2200000}"/>
    <cellStyle name="Note 2 2 3 5 2 2 2" xfId="17145" xr:uid="{1093E3B9-71EB-4FA8-8F5E-A0E5F327628C}"/>
    <cellStyle name="Note 2 2 3 5 2 3" xfId="12927" xr:uid="{3CD08D58-6D91-4A5B-A087-9DF2C90161E8}"/>
    <cellStyle name="Note 2 2 3 5 3" xfId="6558" xr:uid="{00000000-0005-0000-0000-0000D3200000}"/>
    <cellStyle name="Note 2 2 3 5 3 2" xfId="15000" xr:uid="{79C7476B-4A31-4CFB-A0DA-E9CDB71047E1}"/>
    <cellStyle name="Note 2 2 3 5 4" xfId="10782" xr:uid="{4A3F23F3-44E5-4633-AF9C-10CB49800979}"/>
    <cellStyle name="Note 2 2 3 6" xfId="2687" xr:uid="{00000000-0005-0000-0000-0000D4200000}"/>
    <cellStyle name="Note 2 2 3 6 2" xfId="6971" xr:uid="{00000000-0005-0000-0000-0000D5200000}"/>
    <cellStyle name="Note 2 2 3 6 2 2" xfId="15413" xr:uid="{1D7E4A82-9BEC-4FEB-84C4-B7912896DAE7}"/>
    <cellStyle name="Note 2 2 3 6 3" xfId="11195" xr:uid="{1712580E-4AFB-4B81-AA9F-B3FBAEDC4840}"/>
    <cellStyle name="Note 2 2 3 7" xfId="2746" xr:uid="{00000000-0005-0000-0000-0000D6200000}"/>
    <cellStyle name="Note 2 2 3 8" xfId="2827" xr:uid="{00000000-0005-0000-0000-0000D7200000}"/>
    <cellStyle name="Note 2 2 3 8 2" xfId="7051" xr:uid="{00000000-0005-0000-0000-0000D8200000}"/>
    <cellStyle name="Note 2 2 3 8 2 2" xfId="15493" xr:uid="{6D0A6397-85FD-44AE-86EC-EEBB922917DC}"/>
    <cellStyle name="Note 2 2 3 8 3" xfId="11275" xr:uid="{04F9B1CB-CEDA-4979-8C95-0BF48743AF28}"/>
    <cellStyle name="Note 2 2 3 9" xfId="4906" xr:uid="{00000000-0005-0000-0000-0000D9200000}"/>
    <cellStyle name="Note 2 2 3 9 2" xfId="13348" xr:uid="{A651EC1B-8FAB-43F8-9D62-D8B63DEBD4EE}"/>
    <cellStyle name="Note 2 2 4" xfId="1006" xr:uid="{00000000-0005-0000-0000-0000DA200000}"/>
    <cellStyle name="Note 2 2 4 2" xfId="3238" xr:uid="{00000000-0005-0000-0000-0000DB200000}"/>
    <cellStyle name="Note 2 2 4 2 2" xfId="7461" xr:uid="{00000000-0005-0000-0000-0000DC200000}"/>
    <cellStyle name="Note 2 2 4 2 2 2" xfId="15903" xr:uid="{2B685D2A-5D57-49F6-BEDC-C2F1390985EA}"/>
    <cellStyle name="Note 2 2 4 2 3" xfId="11685" xr:uid="{C5605350-F650-4623-A08C-AD6AE6EE5B81}"/>
    <cellStyle name="Note 2 2 4 3" xfId="5316" xr:uid="{00000000-0005-0000-0000-0000DD200000}"/>
    <cellStyle name="Note 2 2 4 3 2" xfId="13758" xr:uid="{D0036053-9D4F-4232-8FCA-55077750729C}"/>
    <cellStyle name="Note 2 2 4 4" xfId="9540" xr:uid="{A16605AB-011B-4130-AA91-B789934CDEE0}"/>
    <cellStyle name="Note 2 2 5" xfId="1421" xr:uid="{00000000-0005-0000-0000-0000DE200000}"/>
    <cellStyle name="Note 2 2 5 2" xfId="3651" xr:uid="{00000000-0005-0000-0000-0000DF200000}"/>
    <cellStyle name="Note 2 2 5 2 2" xfId="7874" xr:uid="{00000000-0005-0000-0000-0000E0200000}"/>
    <cellStyle name="Note 2 2 5 2 2 2" xfId="16316" xr:uid="{6E3216FE-8303-4ABB-AD8A-4D96F981C073}"/>
    <cellStyle name="Note 2 2 5 2 3" xfId="12098" xr:uid="{C5790829-FB39-458B-ABBD-94765B34BC38}"/>
    <cellStyle name="Note 2 2 5 3" xfId="5729" xr:uid="{00000000-0005-0000-0000-0000E1200000}"/>
    <cellStyle name="Note 2 2 5 3 2" xfId="14171" xr:uid="{F0B962A3-D12A-4035-8059-3E498A89CF37}"/>
    <cellStyle name="Note 2 2 5 4" xfId="9953" xr:uid="{94F9CA2B-9466-4374-9E95-A31CD316BF29}"/>
    <cellStyle name="Note 2 2 6" xfId="1835" xr:uid="{00000000-0005-0000-0000-0000E2200000}"/>
    <cellStyle name="Note 2 2 6 2" xfId="4064" xr:uid="{00000000-0005-0000-0000-0000E3200000}"/>
    <cellStyle name="Note 2 2 6 2 2" xfId="8287" xr:uid="{00000000-0005-0000-0000-0000E4200000}"/>
    <cellStyle name="Note 2 2 6 2 2 2" xfId="16729" xr:uid="{C1CA7C17-526D-4B73-884B-62CBBFF53242}"/>
    <cellStyle name="Note 2 2 6 2 3" xfId="12511" xr:uid="{7741903C-D026-4D1E-B11B-20EA5064A676}"/>
    <cellStyle name="Note 2 2 6 3" xfId="6142" xr:uid="{00000000-0005-0000-0000-0000E5200000}"/>
    <cellStyle name="Note 2 2 6 3 2" xfId="14584" xr:uid="{E08252BF-C8B9-44FC-BB1A-D52AB2685F87}"/>
    <cellStyle name="Note 2 2 6 4" xfId="10366" xr:uid="{D2CAD2C0-E438-46C7-BAE3-3E0926CE5AE3}"/>
    <cellStyle name="Note 2 2 7" xfId="2248" xr:uid="{00000000-0005-0000-0000-0000E6200000}"/>
    <cellStyle name="Note 2 2 7 2" xfId="4477" xr:uid="{00000000-0005-0000-0000-0000E7200000}"/>
    <cellStyle name="Note 2 2 7 2 2" xfId="8700" xr:uid="{00000000-0005-0000-0000-0000E8200000}"/>
    <cellStyle name="Note 2 2 7 2 2 2" xfId="17142" xr:uid="{38577F58-A919-4AC0-AD21-50C56E62AF65}"/>
    <cellStyle name="Note 2 2 7 2 3" xfId="12924" xr:uid="{AF7B82C7-322C-44CB-8D24-EA8E620BEC07}"/>
    <cellStyle name="Note 2 2 7 3" xfId="6555" xr:uid="{00000000-0005-0000-0000-0000E9200000}"/>
    <cellStyle name="Note 2 2 7 3 2" xfId="14997" xr:uid="{33451D09-167B-4044-B5C9-A43228B0153C}"/>
    <cellStyle name="Note 2 2 7 4" xfId="10779" xr:uid="{D16CB5C1-4CA6-4956-8BF7-421B44561AD0}"/>
    <cellStyle name="Note 2 2 8" xfId="2684" xr:uid="{00000000-0005-0000-0000-0000EA200000}"/>
    <cellStyle name="Note 2 2 8 2" xfId="6968" xr:uid="{00000000-0005-0000-0000-0000EB200000}"/>
    <cellStyle name="Note 2 2 8 2 2" xfId="15410" xr:uid="{A7327295-87EA-4873-9B08-D0288934D90E}"/>
    <cellStyle name="Note 2 2 8 3" xfId="11192" xr:uid="{2A795475-660E-4B30-9542-889CBCC358E3}"/>
    <cellStyle name="Note 2 2 9" xfId="2743" xr:uid="{00000000-0005-0000-0000-0000EC200000}"/>
    <cellStyle name="Note 2 3" xfId="549" xr:uid="{00000000-0005-0000-0000-0000ED200000}"/>
    <cellStyle name="Note 2 3 10" xfId="4907" xr:uid="{00000000-0005-0000-0000-0000EE200000}"/>
    <cellStyle name="Note 2 3 10 2" xfId="13349" xr:uid="{F160C42E-D864-47AD-89A3-F04B9CD7359C}"/>
    <cellStyle name="Note 2 3 11" xfId="9131" xr:uid="{631780E5-8397-42D7-B46C-567CB40475FE}"/>
    <cellStyle name="Note 2 3 2" xfId="550" xr:uid="{00000000-0005-0000-0000-0000EF200000}"/>
    <cellStyle name="Note 2 3 2 10" xfId="9132" xr:uid="{62F31E0F-F1E3-495D-A400-950D175F4408}"/>
    <cellStyle name="Note 2 3 2 2" xfId="1011" xr:uid="{00000000-0005-0000-0000-0000F0200000}"/>
    <cellStyle name="Note 2 3 2 2 2" xfId="3243" xr:uid="{00000000-0005-0000-0000-0000F1200000}"/>
    <cellStyle name="Note 2 3 2 2 2 2" xfId="7466" xr:uid="{00000000-0005-0000-0000-0000F2200000}"/>
    <cellStyle name="Note 2 3 2 2 2 2 2" xfId="15908" xr:uid="{3BFD55FD-BCBC-47A6-B124-15BE98638B64}"/>
    <cellStyle name="Note 2 3 2 2 2 3" xfId="11690" xr:uid="{899CCD24-F154-43DC-A19B-BF91C1CEF9A7}"/>
    <cellStyle name="Note 2 3 2 2 3" xfId="5321" xr:uid="{00000000-0005-0000-0000-0000F3200000}"/>
    <cellStyle name="Note 2 3 2 2 3 2" xfId="13763" xr:uid="{58B5BEBF-EEF8-440E-B8B2-9B541BE0DD68}"/>
    <cellStyle name="Note 2 3 2 2 4" xfId="9545" xr:uid="{D7E8C844-1E49-4607-A865-4A47C86B7D15}"/>
    <cellStyle name="Note 2 3 2 3" xfId="1426" xr:uid="{00000000-0005-0000-0000-0000F4200000}"/>
    <cellStyle name="Note 2 3 2 3 2" xfId="3656" xr:uid="{00000000-0005-0000-0000-0000F5200000}"/>
    <cellStyle name="Note 2 3 2 3 2 2" xfId="7879" xr:uid="{00000000-0005-0000-0000-0000F6200000}"/>
    <cellStyle name="Note 2 3 2 3 2 2 2" xfId="16321" xr:uid="{9B1157D3-9E75-4055-8F5B-80E67DDEF4A7}"/>
    <cellStyle name="Note 2 3 2 3 2 3" xfId="12103" xr:uid="{94A6D20D-08F4-4B06-8F8D-BA491837E8B6}"/>
    <cellStyle name="Note 2 3 2 3 3" xfId="5734" xr:uid="{00000000-0005-0000-0000-0000F7200000}"/>
    <cellStyle name="Note 2 3 2 3 3 2" xfId="14176" xr:uid="{8DB0989D-16CF-49BB-B0C0-B6924AB089CE}"/>
    <cellStyle name="Note 2 3 2 3 4" xfId="9958" xr:uid="{2944F4F0-D20C-423F-A0FA-06858DCF0F1A}"/>
    <cellStyle name="Note 2 3 2 4" xfId="1840" xr:uid="{00000000-0005-0000-0000-0000F8200000}"/>
    <cellStyle name="Note 2 3 2 4 2" xfId="4069" xr:uid="{00000000-0005-0000-0000-0000F9200000}"/>
    <cellStyle name="Note 2 3 2 4 2 2" xfId="8292" xr:uid="{00000000-0005-0000-0000-0000FA200000}"/>
    <cellStyle name="Note 2 3 2 4 2 2 2" xfId="16734" xr:uid="{ACC3DFA8-694E-4A8C-869E-8E3A0E021F5E}"/>
    <cellStyle name="Note 2 3 2 4 2 3" xfId="12516" xr:uid="{0709C168-4F5F-46F7-B7DF-24D4671051D7}"/>
    <cellStyle name="Note 2 3 2 4 3" xfId="6147" xr:uid="{00000000-0005-0000-0000-0000FB200000}"/>
    <cellStyle name="Note 2 3 2 4 3 2" xfId="14589" xr:uid="{80B08CD0-757F-458E-82EB-69BDEB01C8AC}"/>
    <cellStyle name="Note 2 3 2 4 4" xfId="10371" xr:uid="{60D399E3-5C99-4457-AEFA-BC7F49917263}"/>
    <cellStyle name="Note 2 3 2 5" xfId="2253" xr:uid="{00000000-0005-0000-0000-0000FC200000}"/>
    <cellStyle name="Note 2 3 2 5 2" xfId="4482" xr:uid="{00000000-0005-0000-0000-0000FD200000}"/>
    <cellStyle name="Note 2 3 2 5 2 2" xfId="8705" xr:uid="{00000000-0005-0000-0000-0000FE200000}"/>
    <cellStyle name="Note 2 3 2 5 2 2 2" xfId="17147" xr:uid="{2B708EFE-79FD-499E-BE86-84A2A4C3D4A8}"/>
    <cellStyle name="Note 2 3 2 5 2 3" xfId="12929" xr:uid="{8AAA19F1-9AD4-4ED5-86FF-1CA4D4031353}"/>
    <cellStyle name="Note 2 3 2 5 3" xfId="6560" xr:uid="{00000000-0005-0000-0000-0000FF200000}"/>
    <cellStyle name="Note 2 3 2 5 3 2" xfId="15002" xr:uid="{CC1865E4-0E84-4C2F-B880-911A5A339E33}"/>
    <cellStyle name="Note 2 3 2 5 4" xfId="10784" xr:uid="{6AD0A37F-1CFE-420E-944F-724DF4E950EB}"/>
    <cellStyle name="Note 2 3 2 6" xfId="2689" xr:uid="{00000000-0005-0000-0000-000000210000}"/>
    <cellStyle name="Note 2 3 2 6 2" xfId="6973" xr:uid="{00000000-0005-0000-0000-000001210000}"/>
    <cellStyle name="Note 2 3 2 6 2 2" xfId="15415" xr:uid="{BEB5B852-1BC1-40F9-AB66-70C78346009C}"/>
    <cellStyle name="Note 2 3 2 6 3" xfId="11197" xr:uid="{3ACAC87D-3875-42BE-A550-C7BB0F78229F}"/>
    <cellStyle name="Note 2 3 2 7" xfId="2748" xr:uid="{00000000-0005-0000-0000-000002210000}"/>
    <cellStyle name="Note 2 3 2 8" xfId="2829" xr:uid="{00000000-0005-0000-0000-000003210000}"/>
    <cellStyle name="Note 2 3 2 8 2" xfId="7053" xr:uid="{00000000-0005-0000-0000-000004210000}"/>
    <cellStyle name="Note 2 3 2 8 2 2" xfId="15495" xr:uid="{F01B8999-BF0D-4144-88B8-9B47946811BF}"/>
    <cellStyle name="Note 2 3 2 8 3" xfId="11277" xr:uid="{669FD5CF-B4A6-4578-B965-2A39D5C783F4}"/>
    <cellStyle name="Note 2 3 2 9" xfId="4908" xr:uid="{00000000-0005-0000-0000-000005210000}"/>
    <cellStyle name="Note 2 3 2 9 2" xfId="13350" xr:uid="{A0CC8F18-DB0D-48CE-A11F-54D6574ACDE6}"/>
    <cellStyle name="Note 2 3 3" xfId="1010" xr:uid="{00000000-0005-0000-0000-000006210000}"/>
    <cellStyle name="Note 2 3 3 2" xfId="3242" xr:uid="{00000000-0005-0000-0000-000007210000}"/>
    <cellStyle name="Note 2 3 3 2 2" xfId="7465" xr:uid="{00000000-0005-0000-0000-000008210000}"/>
    <cellStyle name="Note 2 3 3 2 2 2" xfId="15907" xr:uid="{89A1E74E-B2F1-4647-B6F3-67E249E404CF}"/>
    <cellStyle name="Note 2 3 3 2 3" xfId="11689" xr:uid="{E928FA70-DBF5-4F50-9B2B-46DBCBDE11BC}"/>
    <cellStyle name="Note 2 3 3 3" xfId="5320" xr:uid="{00000000-0005-0000-0000-000009210000}"/>
    <cellStyle name="Note 2 3 3 3 2" xfId="13762" xr:uid="{8CDE3CB7-2639-4F58-8682-5BB7E7D9664F}"/>
    <cellStyle name="Note 2 3 3 4" xfId="9544" xr:uid="{DE0FFD24-952B-4B6B-9A89-6EA89CB79F6F}"/>
    <cellStyle name="Note 2 3 4" xfId="1425" xr:uid="{00000000-0005-0000-0000-00000A210000}"/>
    <cellStyle name="Note 2 3 4 2" xfId="3655" xr:uid="{00000000-0005-0000-0000-00000B210000}"/>
    <cellStyle name="Note 2 3 4 2 2" xfId="7878" xr:uid="{00000000-0005-0000-0000-00000C210000}"/>
    <cellStyle name="Note 2 3 4 2 2 2" xfId="16320" xr:uid="{F279392B-CC73-452C-BFAF-CB56CD0CA326}"/>
    <cellStyle name="Note 2 3 4 2 3" xfId="12102" xr:uid="{7A8B2A49-C5CB-45A7-8680-FB19CFBDADFE}"/>
    <cellStyle name="Note 2 3 4 3" xfId="5733" xr:uid="{00000000-0005-0000-0000-00000D210000}"/>
    <cellStyle name="Note 2 3 4 3 2" xfId="14175" xr:uid="{B0F4A9DE-CFF1-425D-AEB2-AD304EFC8C35}"/>
    <cellStyle name="Note 2 3 4 4" xfId="9957" xr:uid="{5D85B441-D2C5-4F45-87DC-4CD4D4E3ED3E}"/>
    <cellStyle name="Note 2 3 5" xfId="1839" xr:uid="{00000000-0005-0000-0000-00000E210000}"/>
    <cellStyle name="Note 2 3 5 2" xfId="4068" xr:uid="{00000000-0005-0000-0000-00000F210000}"/>
    <cellStyle name="Note 2 3 5 2 2" xfId="8291" xr:uid="{00000000-0005-0000-0000-000010210000}"/>
    <cellStyle name="Note 2 3 5 2 2 2" xfId="16733" xr:uid="{88302DE0-C952-4B25-9219-4C1915164231}"/>
    <cellStyle name="Note 2 3 5 2 3" xfId="12515" xr:uid="{2D1F95AC-A086-4933-ACBF-534B7FFAEFF3}"/>
    <cellStyle name="Note 2 3 5 3" xfId="6146" xr:uid="{00000000-0005-0000-0000-000011210000}"/>
    <cellStyle name="Note 2 3 5 3 2" xfId="14588" xr:uid="{881EE357-91EF-4D9F-BA94-7004D185DCD6}"/>
    <cellStyle name="Note 2 3 5 4" xfId="10370" xr:uid="{72A7773E-5400-4A1C-98B7-B7EFEB4CB1C6}"/>
    <cellStyle name="Note 2 3 6" xfId="2252" xr:uid="{00000000-0005-0000-0000-000012210000}"/>
    <cellStyle name="Note 2 3 6 2" xfId="4481" xr:uid="{00000000-0005-0000-0000-000013210000}"/>
    <cellStyle name="Note 2 3 6 2 2" xfId="8704" xr:uid="{00000000-0005-0000-0000-000014210000}"/>
    <cellStyle name="Note 2 3 6 2 2 2" xfId="17146" xr:uid="{77D35AFA-C63C-4238-AF77-A544E7F30A81}"/>
    <cellStyle name="Note 2 3 6 2 3" xfId="12928" xr:uid="{CC01DC23-6419-4F44-8353-A3FDB14A33F3}"/>
    <cellStyle name="Note 2 3 6 3" xfId="6559" xr:uid="{00000000-0005-0000-0000-000015210000}"/>
    <cellStyle name="Note 2 3 6 3 2" xfId="15001" xr:uid="{AFA0890C-6ABB-4B6E-AEC7-1E4CC8A75588}"/>
    <cellStyle name="Note 2 3 6 4" xfId="10783" xr:uid="{0886B5A3-588E-4BBC-9ED3-43FA6C96ECE6}"/>
    <cellStyle name="Note 2 3 7" xfId="2688" xr:uid="{00000000-0005-0000-0000-000016210000}"/>
    <cellStyle name="Note 2 3 7 2" xfId="6972" xr:uid="{00000000-0005-0000-0000-000017210000}"/>
    <cellStyle name="Note 2 3 7 2 2" xfId="15414" xr:uid="{73FD6AA5-C9ED-45A0-A16C-80D1C12ACFB9}"/>
    <cellStyle name="Note 2 3 7 3" xfId="11196" xr:uid="{475E28BB-56EA-4BD4-96FF-A5B74C349087}"/>
    <cellStyle name="Note 2 3 8" xfId="2747" xr:uid="{00000000-0005-0000-0000-000018210000}"/>
    <cellStyle name="Note 2 3 9" xfId="2828" xr:uid="{00000000-0005-0000-0000-000019210000}"/>
    <cellStyle name="Note 2 3 9 2" xfId="7052" xr:uid="{00000000-0005-0000-0000-00001A210000}"/>
    <cellStyle name="Note 2 3 9 2 2" xfId="15494" xr:uid="{B50A22DE-74A2-48DA-8663-38A32F1C9374}"/>
    <cellStyle name="Note 2 3 9 3" xfId="11276" xr:uid="{7289BEF2-328F-4F1E-BB18-9EC9BC402F63}"/>
    <cellStyle name="Note 2 4" xfId="551" xr:uid="{00000000-0005-0000-0000-00001B210000}"/>
    <cellStyle name="Note 2 4 10" xfId="9133" xr:uid="{849A6BB2-9F9F-4258-B827-11722AF86BD6}"/>
    <cellStyle name="Note 2 4 2" xfId="1012" xr:uid="{00000000-0005-0000-0000-00001C210000}"/>
    <cellStyle name="Note 2 4 2 2" xfId="3244" xr:uid="{00000000-0005-0000-0000-00001D210000}"/>
    <cellStyle name="Note 2 4 2 2 2" xfId="7467" xr:uid="{00000000-0005-0000-0000-00001E210000}"/>
    <cellStyle name="Note 2 4 2 2 2 2" xfId="15909" xr:uid="{6DB22BAC-511F-45EB-937F-04169A0C0447}"/>
    <cellStyle name="Note 2 4 2 2 3" xfId="11691" xr:uid="{7CC900B1-ABD9-4272-9D1C-50146E2EB585}"/>
    <cellStyle name="Note 2 4 2 3" xfId="5322" xr:uid="{00000000-0005-0000-0000-00001F210000}"/>
    <cellStyle name="Note 2 4 2 3 2" xfId="13764" xr:uid="{0E1AFDA1-C015-4CA6-9430-32C98063EA9E}"/>
    <cellStyle name="Note 2 4 2 4" xfId="9546" xr:uid="{33B6BC13-94D9-4984-93E4-41B3E6FB5E58}"/>
    <cellStyle name="Note 2 4 3" xfId="1427" xr:uid="{00000000-0005-0000-0000-000020210000}"/>
    <cellStyle name="Note 2 4 3 2" xfId="3657" xr:uid="{00000000-0005-0000-0000-000021210000}"/>
    <cellStyle name="Note 2 4 3 2 2" xfId="7880" xr:uid="{00000000-0005-0000-0000-000022210000}"/>
    <cellStyle name="Note 2 4 3 2 2 2" xfId="16322" xr:uid="{2339B376-5451-4685-85A5-041000C0187A}"/>
    <cellStyle name="Note 2 4 3 2 3" xfId="12104" xr:uid="{73278368-7D5C-4156-AEAD-E8DD2067B0FE}"/>
    <cellStyle name="Note 2 4 3 3" xfId="5735" xr:uid="{00000000-0005-0000-0000-000023210000}"/>
    <cellStyle name="Note 2 4 3 3 2" xfId="14177" xr:uid="{1D8BF284-1B63-4C8F-A5B3-2C18E277ED3D}"/>
    <cellStyle name="Note 2 4 3 4" xfId="9959" xr:uid="{9E5C0B18-E988-41C2-877A-769B8725682F}"/>
    <cellStyle name="Note 2 4 4" xfId="1841" xr:uid="{00000000-0005-0000-0000-000024210000}"/>
    <cellStyle name="Note 2 4 4 2" xfId="4070" xr:uid="{00000000-0005-0000-0000-000025210000}"/>
    <cellStyle name="Note 2 4 4 2 2" xfId="8293" xr:uid="{00000000-0005-0000-0000-000026210000}"/>
    <cellStyle name="Note 2 4 4 2 2 2" xfId="16735" xr:uid="{31517DAC-648C-454E-8230-C25A31C583A9}"/>
    <cellStyle name="Note 2 4 4 2 3" xfId="12517" xr:uid="{7171CA45-AE5C-4B02-92A9-EA3DB111D444}"/>
    <cellStyle name="Note 2 4 4 3" xfId="6148" xr:uid="{00000000-0005-0000-0000-000027210000}"/>
    <cellStyle name="Note 2 4 4 3 2" xfId="14590" xr:uid="{ECAA4B6E-CDDB-43EB-89C3-C95E81B21305}"/>
    <cellStyle name="Note 2 4 4 4" xfId="10372" xr:uid="{2BE0608B-DC5C-46C7-99AC-6621A58F1890}"/>
    <cellStyle name="Note 2 4 5" xfId="2254" xr:uid="{00000000-0005-0000-0000-000028210000}"/>
    <cellStyle name="Note 2 4 5 2" xfId="4483" xr:uid="{00000000-0005-0000-0000-000029210000}"/>
    <cellStyle name="Note 2 4 5 2 2" xfId="8706" xr:uid="{00000000-0005-0000-0000-00002A210000}"/>
    <cellStyle name="Note 2 4 5 2 2 2" xfId="17148" xr:uid="{C5BA5037-23E3-4B0F-8B13-0CCCA3AC6A0B}"/>
    <cellStyle name="Note 2 4 5 2 3" xfId="12930" xr:uid="{63007EB9-B5B0-4AE9-A8E5-EF6CA89A5D71}"/>
    <cellStyle name="Note 2 4 5 3" xfId="6561" xr:uid="{00000000-0005-0000-0000-00002B210000}"/>
    <cellStyle name="Note 2 4 5 3 2" xfId="15003" xr:uid="{69808C67-44B2-40FD-8318-B16E7ACD38E3}"/>
    <cellStyle name="Note 2 4 5 4" xfId="10785" xr:uid="{3C149BAE-2318-4580-99DA-C97E00AE5B5F}"/>
    <cellStyle name="Note 2 4 6" xfId="2690" xr:uid="{00000000-0005-0000-0000-00002C210000}"/>
    <cellStyle name="Note 2 4 6 2" xfId="6974" xr:uid="{00000000-0005-0000-0000-00002D210000}"/>
    <cellStyle name="Note 2 4 6 2 2" xfId="15416" xr:uid="{561E9629-9F95-4D76-81F4-C4BDD8E0F986}"/>
    <cellStyle name="Note 2 4 6 3" xfId="11198" xr:uid="{10FF676A-4C0B-4586-ACF4-B334B17D9351}"/>
    <cellStyle name="Note 2 4 7" xfId="2749" xr:uid="{00000000-0005-0000-0000-00002E210000}"/>
    <cellStyle name="Note 2 4 8" xfId="2830" xr:uid="{00000000-0005-0000-0000-00002F210000}"/>
    <cellStyle name="Note 2 4 8 2" xfId="7054" xr:uid="{00000000-0005-0000-0000-000030210000}"/>
    <cellStyle name="Note 2 4 8 2 2" xfId="15496" xr:uid="{5E680ADD-09E0-4B5B-8ED9-830B02CAA64B}"/>
    <cellStyle name="Note 2 4 8 3" xfId="11278" xr:uid="{37670587-10DF-4EAC-9C13-42331BF8E96C}"/>
    <cellStyle name="Note 2 4 9" xfId="4909" xr:uid="{00000000-0005-0000-0000-000031210000}"/>
    <cellStyle name="Note 2 4 9 2" xfId="13351" xr:uid="{25A5F8AF-8A22-434A-9A46-FF6158CBA2C0}"/>
    <cellStyle name="Note 2 5" xfId="552" xr:uid="{00000000-0005-0000-0000-000032210000}"/>
    <cellStyle name="Note 2 5 10" xfId="9134" xr:uid="{4038B919-B388-4954-B9BD-BE25D6E5BB60}"/>
    <cellStyle name="Note 2 5 2" xfId="1013" xr:uid="{00000000-0005-0000-0000-000033210000}"/>
    <cellStyle name="Note 2 5 2 2" xfId="3245" xr:uid="{00000000-0005-0000-0000-000034210000}"/>
    <cellStyle name="Note 2 5 2 2 2" xfId="7468" xr:uid="{00000000-0005-0000-0000-000035210000}"/>
    <cellStyle name="Note 2 5 2 2 2 2" xfId="15910" xr:uid="{E8273A12-C25F-4A7D-B6E7-F5FD328A71B6}"/>
    <cellStyle name="Note 2 5 2 2 3" xfId="11692" xr:uid="{C082B2C2-FCD3-4BE0-887C-0DB079EF35BA}"/>
    <cellStyle name="Note 2 5 2 3" xfId="5323" xr:uid="{00000000-0005-0000-0000-000036210000}"/>
    <cellStyle name="Note 2 5 2 3 2" xfId="13765" xr:uid="{47799DDB-6687-49B2-839F-8DD6F7DC0E9A}"/>
    <cellStyle name="Note 2 5 2 4" xfId="9547" xr:uid="{A5B779C5-AE79-4DCE-8E68-5706837ADB8F}"/>
    <cellStyle name="Note 2 5 3" xfId="1428" xr:uid="{00000000-0005-0000-0000-000037210000}"/>
    <cellStyle name="Note 2 5 3 2" xfId="3658" xr:uid="{00000000-0005-0000-0000-000038210000}"/>
    <cellStyle name="Note 2 5 3 2 2" xfId="7881" xr:uid="{00000000-0005-0000-0000-000039210000}"/>
    <cellStyle name="Note 2 5 3 2 2 2" xfId="16323" xr:uid="{7542FC27-EDDF-4D67-A723-0D94E9EF74EE}"/>
    <cellStyle name="Note 2 5 3 2 3" xfId="12105" xr:uid="{2027E30D-D4B0-4EF8-B5DB-D8916D470BD1}"/>
    <cellStyle name="Note 2 5 3 3" xfId="5736" xr:uid="{00000000-0005-0000-0000-00003A210000}"/>
    <cellStyle name="Note 2 5 3 3 2" xfId="14178" xr:uid="{AE991429-10EB-4875-9D00-AD6A9256E9BF}"/>
    <cellStyle name="Note 2 5 3 4" xfId="9960" xr:uid="{DB44DDF0-4BD4-4C52-B2F5-C68B9FB2E2D2}"/>
    <cellStyle name="Note 2 5 4" xfId="1842" xr:uid="{00000000-0005-0000-0000-00003B210000}"/>
    <cellStyle name="Note 2 5 4 2" xfId="4071" xr:uid="{00000000-0005-0000-0000-00003C210000}"/>
    <cellStyle name="Note 2 5 4 2 2" xfId="8294" xr:uid="{00000000-0005-0000-0000-00003D210000}"/>
    <cellStyle name="Note 2 5 4 2 2 2" xfId="16736" xr:uid="{AA0A89FC-696D-41DB-B132-53995E254454}"/>
    <cellStyle name="Note 2 5 4 2 3" xfId="12518" xr:uid="{3AA7B3FC-DAF5-4ACF-AF7A-9A336B3C7D75}"/>
    <cellStyle name="Note 2 5 4 3" xfId="6149" xr:uid="{00000000-0005-0000-0000-00003E210000}"/>
    <cellStyle name="Note 2 5 4 3 2" xfId="14591" xr:uid="{69B5E971-9D45-44D7-B6C4-F75FACDA892F}"/>
    <cellStyle name="Note 2 5 4 4" xfId="10373" xr:uid="{8902FB94-CE8F-4CBA-8ED5-5C5D0E78374F}"/>
    <cellStyle name="Note 2 5 5" xfId="2255" xr:uid="{00000000-0005-0000-0000-00003F210000}"/>
    <cellStyle name="Note 2 5 5 2" xfId="4484" xr:uid="{00000000-0005-0000-0000-000040210000}"/>
    <cellStyle name="Note 2 5 5 2 2" xfId="8707" xr:uid="{00000000-0005-0000-0000-000041210000}"/>
    <cellStyle name="Note 2 5 5 2 2 2" xfId="17149" xr:uid="{1A1B0894-9CE4-4C06-80AD-124070565B64}"/>
    <cellStyle name="Note 2 5 5 2 3" xfId="12931" xr:uid="{C017C373-52EF-431B-959C-36C6BBDE5F61}"/>
    <cellStyle name="Note 2 5 5 3" xfId="6562" xr:uid="{00000000-0005-0000-0000-000042210000}"/>
    <cellStyle name="Note 2 5 5 3 2" xfId="15004" xr:uid="{787F544E-FA3D-4F14-BB7D-F58412B6B79C}"/>
    <cellStyle name="Note 2 5 5 4" xfId="10786" xr:uid="{22798761-E00C-47AE-8CAB-5BFD6D1674CC}"/>
    <cellStyle name="Note 2 5 6" xfId="2691" xr:uid="{00000000-0005-0000-0000-000043210000}"/>
    <cellStyle name="Note 2 5 6 2" xfId="6975" xr:uid="{00000000-0005-0000-0000-000044210000}"/>
    <cellStyle name="Note 2 5 6 2 2" xfId="15417" xr:uid="{38E61B9F-CD51-4544-9792-15419591574F}"/>
    <cellStyle name="Note 2 5 6 3" xfId="11199" xr:uid="{B2738B51-7415-4C9A-B11E-4D6B7DEB5D4A}"/>
    <cellStyle name="Note 2 5 7" xfId="2750" xr:uid="{00000000-0005-0000-0000-000045210000}"/>
    <cellStyle name="Note 2 5 8" xfId="2831" xr:uid="{00000000-0005-0000-0000-000046210000}"/>
    <cellStyle name="Note 2 5 8 2" xfId="7055" xr:uid="{00000000-0005-0000-0000-000047210000}"/>
    <cellStyle name="Note 2 5 8 2 2" xfId="15497" xr:uid="{1DD7D0DE-3E46-4486-BEA8-37480A9572DD}"/>
    <cellStyle name="Note 2 5 8 3" xfId="11279" xr:uid="{BAFACDD8-753D-426C-A7D3-F47A72EE3565}"/>
    <cellStyle name="Note 2 5 9" xfId="4910" xr:uid="{00000000-0005-0000-0000-000048210000}"/>
    <cellStyle name="Note 2 5 9 2" xfId="13352" xr:uid="{F1E5AC5F-5C32-4756-9E2C-1D4635D030D5}"/>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D9510306-7A46-4533-B1A4-277707DF2353}"/>
    <cellStyle name="Note 3 2 10 3" xfId="11280" xr:uid="{78A1292D-C34C-4521-B358-C2212413D0AB}"/>
    <cellStyle name="Note 3 2 11" xfId="4911" xr:uid="{00000000-0005-0000-0000-00004D210000}"/>
    <cellStyle name="Note 3 2 11 2" xfId="13353" xr:uid="{05CCFFDE-BFEF-4384-AC02-B9F0C9278F29}"/>
    <cellStyle name="Note 3 2 12" xfId="9135" xr:uid="{2778CAED-0E08-4D39-B0BC-267F5077A607}"/>
    <cellStyle name="Note 3 2 2" xfId="555" xr:uid="{00000000-0005-0000-0000-00004E210000}"/>
    <cellStyle name="Note 3 2 2 10" xfId="4912" xr:uid="{00000000-0005-0000-0000-00004F210000}"/>
    <cellStyle name="Note 3 2 2 10 2" xfId="13354" xr:uid="{B8963786-1BA3-4D52-90FD-3658726D36B7}"/>
    <cellStyle name="Note 3 2 2 11" xfId="9136" xr:uid="{3D0CD0F3-BF9D-47C2-BF3E-F97F254F6C33}"/>
    <cellStyle name="Note 3 2 2 2" xfId="556" xr:uid="{00000000-0005-0000-0000-000050210000}"/>
    <cellStyle name="Note 3 2 2 2 10" xfId="9137" xr:uid="{DE85C8CB-FF3B-4F88-BDE7-73001561C694}"/>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66B1FF3E-E517-46ED-BEFB-9338A01D830A}"/>
    <cellStyle name="Note 3 2 2 2 2 2 3" xfId="11695" xr:uid="{B1974515-ECBC-49CA-9220-9CE4845B29E1}"/>
    <cellStyle name="Note 3 2 2 2 2 3" xfId="5326" xr:uid="{00000000-0005-0000-0000-000054210000}"/>
    <cellStyle name="Note 3 2 2 2 2 3 2" xfId="13768" xr:uid="{83562727-CE53-41F6-BF75-67D488C7C514}"/>
    <cellStyle name="Note 3 2 2 2 2 4" xfId="9550" xr:uid="{1AB6DABF-AA9F-4B26-91BC-17D04B900906}"/>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609A2290-43FF-4D84-9ABB-39FFB388FC3A}"/>
    <cellStyle name="Note 3 2 2 2 3 2 3" xfId="12108" xr:uid="{02363B65-9AA5-4633-9F58-08A4B78C8896}"/>
    <cellStyle name="Note 3 2 2 2 3 3" xfId="5739" xr:uid="{00000000-0005-0000-0000-000058210000}"/>
    <cellStyle name="Note 3 2 2 2 3 3 2" xfId="14181" xr:uid="{E3A40061-0D51-4D3A-A95A-FBA7D81B5A72}"/>
    <cellStyle name="Note 3 2 2 2 3 4" xfId="9963" xr:uid="{D4400C24-A550-4D68-AE34-DEB94456A86D}"/>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4161735E-2378-4BFD-8EEA-1CF705B87E2F}"/>
    <cellStyle name="Note 3 2 2 2 4 2 3" xfId="12521" xr:uid="{F629AE77-910A-4D18-BC6E-A11B4A2067F2}"/>
    <cellStyle name="Note 3 2 2 2 4 3" xfId="6152" xr:uid="{00000000-0005-0000-0000-00005C210000}"/>
    <cellStyle name="Note 3 2 2 2 4 3 2" xfId="14594" xr:uid="{D47E4667-16B3-4136-9D4E-9A289DB1480F}"/>
    <cellStyle name="Note 3 2 2 2 4 4" xfId="10376" xr:uid="{6245A677-2928-4AAF-AB9C-8CD810F3BB1C}"/>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A73E3BA7-AB83-4891-909F-8AF6E92D8BDD}"/>
    <cellStyle name="Note 3 2 2 2 5 2 3" xfId="12934" xr:uid="{DDF257A6-AB9E-41C6-9997-85BB44C03671}"/>
    <cellStyle name="Note 3 2 2 2 5 3" xfId="6565" xr:uid="{00000000-0005-0000-0000-000060210000}"/>
    <cellStyle name="Note 3 2 2 2 5 3 2" xfId="15007" xr:uid="{1CB83FF6-FFBA-4364-B22D-B50B5201823B}"/>
    <cellStyle name="Note 3 2 2 2 5 4" xfId="10789" xr:uid="{EC76125F-D160-4BF7-8261-BAF0434A6F72}"/>
    <cellStyle name="Note 3 2 2 2 6" xfId="2694" xr:uid="{00000000-0005-0000-0000-000061210000}"/>
    <cellStyle name="Note 3 2 2 2 6 2" xfId="6978" xr:uid="{00000000-0005-0000-0000-000062210000}"/>
    <cellStyle name="Note 3 2 2 2 6 2 2" xfId="15420" xr:uid="{80286814-8B2D-46E9-8FC1-81D78BBACEE8}"/>
    <cellStyle name="Note 3 2 2 2 6 3" xfId="11202" xr:uid="{C4BA1CA1-474B-43F7-BF48-A3B9116A4B29}"/>
    <cellStyle name="Note 3 2 2 2 7" xfId="2753" xr:uid="{00000000-0005-0000-0000-000063210000}"/>
    <cellStyle name="Note 3 2 2 2 8" xfId="2834" xr:uid="{00000000-0005-0000-0000-000064210000}"/>
    <cellStyle name="Note 3 2 2 2 8 2" xfId="7058" xr:uid="{00000000-0005-0000-0000-000065210000}"/>
    <cellStyle name="Note 3 2 2 2 8 2 2" xfId="15500" xr:uid="{35DBD13D-08E1-4B54-A27D-4E51DEB3F360}"/>
    <cellStyle name="Note 3 2 2 2 8 3" xfId="11282" xr:uid="{7B99C614-5F69-497C-ACBC-0F91F0F24A9F}"/>
    <cellStyle name="Note 3 2 2 2 9" xfId="4913" xr:uid="{00000000-0005-0000-0000-000066210000}"/>
    <cellStyle name="Note 3 2 2 2 9 2" xfId="13355" xr:uid="{F46D1384-BC42-402C-87B7-1FDF35EDACE6}"/>
    <cellStyle name="Note 3 2 2 3" xfId="1015" xr:uid="{00000000-0005-0000-0000-000067210000}"/>
    <cellStyle name="Note 3 2 2 3 2" xfId="3247" xr:uid="{00000000-0005-0000-0000-000068210000}"/>
    <cellStyle name="Note 3 2 2 3 2 2" xfId="7470" xr:uid="{00000000-0005-0000-0000-000069210000}"/>
    <cellStyle name="Note 3 2 2 3 2 2 2" xfId="15912" xr:uid="{468A03F3-388E-4DFD-B847-0972114B2E0F}"/>
    <cellStyle name="Note 3 2 2 3 2 3" xfId="11694" xr:uid="{BFC9A0F3-4DE9-4531-88DC-EC05BBDAC2BD}"/>
    <cellStyle name="Note 3 2 2 3 3" xfId="5325" xr:uid="{00000000-0005-0000-0000-00006A210000}"/>
    <cellStyle name="Note 3 2 2 3 3 2" xfId="13767" xr:uid="{93A695BA-34FD-4714-879C-01B2017F170D}"/>
    <cellStyle name="Note 3 2 2 3 4" xfId="9549" xr:uid="{F75CFDB7-C7AA-4BF2-979B-AB9493919622}"/>
    <cellStyle name="Note 3 2 2 4" xfId="1430" xr:uid="{00000000-0005-0000-0000-00006B210000}"/>
    <cellStyle name="Note 3 2 2 4 2" xfId="3660" xr:uid="{00000000-0005-0000-0000-00006C210000}"/>
    <cellStyle name="Note 3 2 2 4 2 2" xfId="7883" xr:uid="{00000000-0005-0000-0000-00006D210000}"/>
    <cellStyle name="Note 3 2 2 4 2 2 2" xfId="16325" xr:uid="{CBC5C3D5-3A18-4AC4-9575-6018A798BD27}"/>
    <cellStyle name="Note 3 2 2 4 2 3" xfId="12107" xr:uid="{7FBB4C6D-458C-46A9-8606-9C5783E39DAB}"/>
    <cellStyle name="Note 3 2 2 4 3" xfId="5738" xr:uid="{00000000-0005-0000-0000-00006E210000}"/>
    <cellStyle name="Note 3 2 2 4 3 2" xfId="14180" xr:uid="{B1185D65-B85B-47E4-8B88-43132BAB2C0A}"/>
    <cellStyle name="Note 3 2 2 4 4" xfId="9962" xr:uid="{B5D51EFB-121E-4B32-8132-FA6ACBDC9518}"/>
    <cellStyle name="Note 3 2 2 5" xfId="1844" xr:uid="{00000000-0005-0000-0000-00006F210000}"/>
    <cellStyle name="Note 3 2 2 5 2" xfId="4073" xr:uid="{00000000-0005-0000-0000-000070210000}"/>
    <cellStyle name="Note 3 2 2 5 2 2" xfId="8296" xr:uid="{00000000-0005-0000-0000-000071210000}"/>
    <cellStyle name="Note 3 2 2 5 2 2 2" xfId="16738" xr:uid="{3F9DF2DC-DECF-4722-92C6-29207CA561EA}"/>
    <cellStyle name="Note 3 2 2 5 2 3" xfId="12520" xr:uid="{11E6B9F5-35C3-485C-9E9E-ACD957348E86}"/>
    <cellStyle name="Note 3 2 2 5 3" xfId="6151" xr:uid="{00000000-0005-0000-0000-000072210000}"/>
    <cellStyle name="Note 3 2 2 5 3 2" xfId="14593" xr:uid="{2D45FE16-2194-41CB-99EB-7AFF51A658C6}"/>
    <cellStyle name="Note 3 2 2 5 4" xfId="10375" xr:uid="{9225E8B5-0AFD-405E-8A21-92E526F5FFD2}"/>
    <cellStyle name="Note 3 2 2 6" xfId="2257" xr:uid="{00000000-0005-0000-0000-000073210000}"/>
    <cellStyle name="Note 3 2 2 6 2" xfId="4486" xr:uid="{00000000-0005-0000-0000-000074210000}"/>
    <cellStyle name="Note 3 2 2 6 2 2" xfId="8709" xr:uid="{00000000-0005-0000-0000-000075210000}"/>
    <cellStyle name="Note 3 2 2 6 2 2 2" xfId="17151" xr:uid="{658EB598-B365-49BE-A575-F123A5CC79AF}"/>
    <cellStyle name="Note 3 2 2 6 2 3" xfId="12933" xr:uid="{7365EE49-2374-4897-B5A6-85074F4C3A07}"/>
    <cellStyle name="Note 3 2 2 6 3" xfId="6564" xr:uid="{00000000-0005-0000-0000-000076210000}"/>
    <cellStyle name="Note 3 2 2 6 3 2" xfId="15006" xr:uid="{FC4A8045-2E5C-4E32-8D92-39DB1D873085}"/>
    <cellStyle name="Note 3 2 2 6 4" xfId="10788" xr:uid="{7C140CB7-530E-4A05-8C48-00C14387D393}"/>
    <cellStyle name="Note 3 2 2 7" xfId="2693" xr:uid="{00000000-0005-0000-0000-000077210000}"/>
    <cellStyle name="Note 3 2 2 7 2" xfId="6977" xr:uid="{00000000-0005-0000-0000-000078210000}"/>
    <cellStyle name="Note 3 2 2 7 2 2" xfId="15419" xr:uid="{DAC10CDC-B16D-4012-AF44-600E98677516}"/>
    <cellStyle name="Note 3 2 2 7 3" xfId="11201" xr:uid="{48CBE855-B484-494E-BB10-E3E9A6A93D9B}"/>
    <cellStyle name="Note 3 2 2 8" xfId="2752" xr:uid="{00000000-0005-0000-0000-000079210000}"/>
    <cellStyle name="Note 3 2 2 9" xfId="2833" xr:uid="{00000000-0005-0000-0000-00007A210000}"/>
    <cellStyle name="Note 3 2 2 9 2" xfId="7057" xr:uid="{00000000-0005-0000-0000-00007B210000}"/>
    <cellStyle name="Note 3 2 2 9 2 2" xfId="15499" xr:uid="{5AFF3277-85DD-404B-B8E6-2C052707F26D}"/>
    <cellStyle name="Note 3 2 2 9 3" xfId="11281" xr:uid="{92E69515-B322-4511-BB6D-4869057EC5C3}"/>
    <cellStyle name="Note 3 2 3" xfId="557" xr:uid="{00000000-0005-0000-0000-00007C210000}"/>
    <cellStyle name="Note 3 2 3 10" xfId="9138" xr:uid="{98C7E0ED-647A-42CF-AAD1-FF3BFD45EF38}"/>
    <cellStyle name="Note 3 2 3 2" xfId="1017" xr:uid="{00000000-0005-0000-0000-00007D210000}"/>
    <cellStyle name="Note 3 2 3 2 2" xfId="3249" xr:uid="{00000000-0005-0000-0000-00007E210000}"/>
    <cellStyle name="Note 3 2 3 2 2 2" xfId="7472" xr:uid="{00000000-0005-0000-0000-00007F210000}"/>
    <cellStyle name="Note 3 2 3 2 2 2 2" xfId="15914" xr:uid="{8126ED0E-3D7A-4B2F-AF39-ADB2E247AC3B}"/>
    <cellStyle name="Note 3 2 3 2 2 3" xfId="11696" xr:uid="{025B7697-4BC1-4945-9D66-4A798D6E7DA6}"/>
    <cellStyle name="Note 3 2 3 2 3" xfId="5327" xr:uid="{00000000-0005-0000-0000-000080210000}"/>
    <cellStyle name="Note 3 2 3 2 3 2" xfId="13769" xr:uid="{27FD5C3F-70D6-4223-92EA-8401B38C69E0}"/>
    <cellStyle name="Note 3 2 3 2 4" xfId="9551" xr:uid="{0DFFED9F-2818-44E3-A270-67B7BDA81E4F}"/>
    <cellStyle name="Note 3 2 3 3" xfId="1432" xr:uid="{00000000-0005-0000-0000-000081210000}"/>
    <cellStyle name="Note 3 2 3 3 2" xfId="3662" xr:uid="{00000000-0005-0000-0000-000082210000}"/>
    <cellStyle name="Note 3 2 3 3 2 2" xfId="7885" xr:uid="{00000000-0005-0000-0000-000083210000}"/>
    <cellStyle name="Note 3 2 3 3 2 2 2" xfId="16327" xr:uid="{DB61D09E-BA3A-439A-A460-193175C64B2D}"/>
    <cellStyle name="Note 3 2 3 3 2 3" xfId="12109" xr:uid="{0F4C5F42-B92F-46F2-A5BA-15A47623EE2B}"/>
    <cellStyle name="Note 3 2 3 3 3" xfId="5740" xr:uid="{00000000-0005-0000-0000-000084210000}"/>
    <cellStyle name="Note 3 2 3 3 3 2" xfId="14182" xr:uid="{CE282AE8-AC0A-4F4E-B961-B820F62A052E}"/>
    <cellStyle name="Note 3 2 3 3 4" xfId="9964" xr:uid="{2A856409-08FE-4011-A686-06A4753AB1CE}"/>
    <cellStyle name="Note 3 2 3 4" xfId="1846" xr:uid="{00000000-0005-0000-0000-000085210000}"/>
    <cellStyle name="Note 3 2 3 4 2" xfId="4075" xr:uid="{00000000-0005-0000-0000-000086210000}"/>
    <cellStyle name="Note 3 2 3 4 2 2" xfId="8298" xr:uid="{00000000-0005-0000-0000-000087210000}"/>
    <cellStyle name="Note 3 2 3 4 2 2 2" xfId="16740" xr:uid="{3DDDE6A8-030F-4F21-A381-0680D7308B67}"/>
    <cellStyle name="Note 3 2 3 4 2 3" xfId="12522" xr:uid="{730B61AB-D00E-4090-A7D9-4F40F4CDE12C}"/>
    <cellStyle name="Note 3 2 3 4 3" xfId="6153" xr:uid="{00000000-0005-0000-0000-000088210000}"/>
    <cellStyle name="Note 3 2 3 4 3 2" xfId="14595" xr:uid="{9B9FFE77-ECA4-41E0-95D2-8497260A1121}"/>
    <cellStyle name="Note 3 2 3 4 4" xfId="10377" xr:uid="{A3AAA159-3D4D-406C-8852-ED64B016BCEC}"/>
    <cellStyle name="Note 3 2 3 5" xfId="2259" xr:uid="{00000000-0005-0000-0000-000089210000}"/>
    <cellStyle name="Note 3 2 3 5 2" xfId="4488" xr:uid="{00000000-0005-0000-0000-00008A210000}"/>
    <cellStyle name="Note 3 2 3 5 2 2" xfId="8711" xr:uid="{00000000-0005-0000-0000-00008B210000}"/>
    <cellStyle name="Note 3 2 3 5 2 2 2" xfId="17153" xr:uid="{D7B4F61E-3C7E-45A5-8D17-5E93CD78BB0B}"/>
    <cellStyle name="Note 3 2 3 5 2 3" xfId="12935" xr:uid="{BB8C655A-1B2A-40B5-A3DC-C44A8C4DA0D9}"/>
    <cellStyle name="Note 3 2 3 5 3" xfId="6566" xr:uid="{00000000-0005-0000-0000-00008C210000}"/>
    <cellStyle name="Note 3 2 3 5 3 2" xfId="15008" xr:uid="{1B0B39A2-9FA2-4B12-A0C0-D9E82B438CDA}"/>
    <cellStyle name="Note 3 2 3 5 4" xfId="10790" xr:uid="{BB6FD2FA-F13E-4F8A-96F8-4CC41DAFE639}"/>
    <cellStyle name="Note 3 2 3 6" xfId="2695" xr:uid="{00000000-0005-0000-0000-00008D210000}"/>
    <cellStyle name="Note 3 2 3 6 2" xfId="6979" xr:uid="{00000000-0005-0000-0000-00008E210000}"/>
    <cellStyle name="Note 3 2 3 6 2 2" xfId="15421" xr:uid="{E715E7D0-5EC4-44C7-A68E-6793C1D89A62}"/>
    <cellStyle name="Note 3 2 3 6 3" xfId="11203" xr:uid="{7B138901-B28A-4AA5-8958-A067C5984981}"/>
    <cellStyle name="Note 3 2 3 7" xfId="2754" xr:uid="{00000000-0005-0000-0000-00008F210000}"/>
    <cellStyle name="Note 3 2 3 8" xfId="2835" xr:uid="{00000000-0005-0000-0000-000090210000}"/>
    <cellStyle name="Note 3 2 3 8 2" xfId="7059" xr:uid="{00000000-0005-0000-0000-000091210000}"/>
    <cellStyle name="Note 3 2 3 8 2 2" xfId="15501" xr:uid="{A033A878-4374-445E-B58E-6B6F82629BA1}"/>
    <cellStyle name="Note 3 2 3 8 3" xfId="11283" xr:uid="{5FD7F54F-9D14-4095-A937-4AAA3E9F8A45}"/>
    <cellStyle name="Note 3 2 3 9" xfId="4914" xr:uid="{00000000-0005-0000-0000-000092210000}"/>
    <cellStyle name="Note 3 2 3 9 2" xfId="13356" xr:uid="{D2040E7B-15BE-4462-9ADC-CDDE97546C9C}"/>
    <cellStyle name="Note 3 2 4" xfId="1014" xr:uid="{00000000-0005-0000-0000-000093210000}"/>
    <cellStyle name="Note 3 2 4 2" xfId="3246" xr:uid="{00000000-0005-0000-0000-000094210000}"/>
    <cellStyle name="Note 3 2 4 2 2" xfId="7469" xr:uid="{00000000-0005-0000-0000-000095210000}"/>
    <cellStyle name="Note 3 2 4 2 2 2" xfId="15911" xr:uid="{E170E484-6DE1-4529-84D5-57871429AC87}"/>
    <cellStyle name="Note 3 2 4 2 3" xfId="11693" xr:uid="{B628F726-67D0-4425-8AF8-81F37CD8F175}"/>
    <cellStyle name="Note 3 2 4 3" xfId="5324" xr:uid="{00000000-0005-0000-0000-000096210000}"/>
    <cellStyle name="Note 3 2 4 3 2" xfId="13766" xr:uid="{2170660F-B97E-4FA4-84EC-57FEBCDBD8F6}"/>
    <cellStyle name="Note 3 2 4 4" xfId="9548" xr:uid="{BFFEA50F-6DE3-495E-9CB6-E275827540A1}"/>
    <cellStyle name="Note 3 2 5" xfId="1429" xr:uid="{00000000-0005-0000-0000-000097210000}"/>
    <cellStyle name="Note 3 2 5 2" xfId="3659" xr:uid="{00000000-0005-0000-0000-000098210000}"/>
    <cellStyle name="Note 3 2 5 2 2" xfId="7882" xr:uid="{00000000-0005-0000-0000-000099210000}"/>
    <cellStyle name="Note 3 2 5 2 2 2" xfId="16324" xr:uid="{F425821C-6617-4559-9365-97832C2A33EF}"/>
    <cellStyle name="Note 3 2 5 2 3" xfId="12106" xr:uid="{DDB0B315-7218-4A0A-A546-B3C38F37D16E}"/>
    <cellStyle name="Note 3 2 5 3" xfId="5737" xr:uid="{00000000-0005-0000-0000-00009A210000}"/>
    <cellStyle name="Note 3 2 5 3 2" xfId="14179" xr:uid="{45B09EA4-9BD7-4484-9699-9FB1B58FAA55}"/>
    <cellStyle name="Note 3 2 5 4" xfId="9961" xr:uid="{D5788333-70EC-4352-9FFD-90CD6BF35269}"/>
    <cellStyle name="Note 3 2 6" xfId="1843" xr:uid="{00000000-0005-0000-0000-00009B210000}"/>
    <cellStyle name="Note 3 2 6 2" xfId="4072" xr:uid="{00000000-0005-0000-0000-00009C210000}"/>
    <cellStyle name="Note 3 2 6 2 2" xfId="8295" xr:uid="{00000000-0005-0000-0000-00009D210000}"/>
    <cellStyle name="Note 3 2 6 2 2 2" xfId="16737" xr:uid="{1BED034F-8E50-4E38-8CA3-9491B1DE5B3C}"/>
    <cellStyle name="Note 3 2 6 2 3" xfId="12519" xr:uid="{D0300A6E-B100-4ACD-AE02-140C8233D320}"/>
    <cellStyle name="Note 3 2 6 3" xfId="6150" xr:uid="{00000000-0005-0000-0000-00009E210000}"/>
    <cellStyle name="Note 3 2 6 3 2" xfId="14592" xr:uid="{A51CED94-48A3-4438-B5D6-F0245C04BD00}"/>
    <cellStyle name="Note 3 2 6 4" xfId="10374" xr:uid="{95BA17FF-7056-4CAF-B2C0-9D3AFDE6D0EE}"/>
    <cellStyle name="Note 3 2 7" xfId="2256" xr:uid="{00000000-0005-0000-0000-00009F210000}"/>
    <cellStyle name="Note 3 2 7 2" xfId="4485" xr:uid="{00000000-0005-0000-0000-0000A0210000}"/>
    <cellStyle name="Note 3 2 7 2 2" xfId="8708" xr:uid="{00000000-0005-0000-0000-0000A1210000}"/>
    <cellStyle name="Note 3 2 7 2 2 2" xfId="17150" xr:uid="{408E4000-A438-4274-867C-65C67878F4DF}"/>
    <cellStyle name="Note 3 2 7 2 3" xfId="12932" xr:uid="{C2A6A2CC-FD3E-4688-AE6C-8D3451712304}"/>
    <cellStyle name="Note 3 2 7 3" xfId="6563" xr:uid="{00000000-0005-0000-0000-0000A2210000}"/>
    <cellStyle name="Note 3 2 7 3 2" xfId="15005" xr:uid="{4F41D8BC-D07A-4CC7-9237-05EA7E7B363E}"/>
    <cellStyle name="Note 3 2 7 4" xfId="10787" xr:uid="{B2528BCF-711D-498A-9BEE-6B6851C025C2}"/>
    <cellStyle name="Note 3 2 8" xfId="2692" xr:uid="{00000000-0005-0000-0000-0000A3210000}"/>
    <cellStyle name="Note 3 2 8 2" xfId="6976" xr:uid="{00000000-0005-0000-0000-0000A4210000}"/>
    <cellStyle name="Note 3 2 8 2 2" xfId="15418" xr:uid="{47EF3709-3109-4B4D-99DA-39491E208D72}"/>
    <cellStyle name="Note 3 2 8 3" xfId="11200" xr:uid="{4E790411-6BFA-49FF-95EC-63545A31E999}"/>
    <cellStyle name="Note 3 2 9" xfId="2751" xr:uid="{00000000-0005-0000-0000-0000A5210000}"/>
    <cellStyle name="Note 3 3" xfId="558" xr:uid="{00000000-0005-0000-0000-0000A6210000}"/>
    <cellStyle name="Note 3 3 10" xfId="4915" xr:uid="{00000000-0005-0000-0000-0000A7210000}"/>
    <cellStyle name="Note 3 3 10 2" xfId="13357" xr:uid="{C108B659-6198-453E-9FCE-DDA58D518F32}"/>
    <cellStyle name="Note 3 3 11" xfId="9139" xr:uid="{F55B2D59-67F5-4664-95EC-E3BBF398317D}"/>
    <cellStyle name="Note 3 3 2" xfId="559" xr:uid="{00000000-0005-0000-0000-0000A8210000}"/>
    <cellStyle name="Note 3 3 2 10" xfId="9140" xr:uid="{5738A863-EE68-4B10-8E1C-0B8EB56F7CA2}"/>
    <cellStyle name="Note 3 3 2 2" xfId="1019" xr:uid="{00000000-0005-0000-0000-0000A9210000}"/>
    <cellStyle name="Note 3 3 2 2 2" xfId="3251" xr:uid="{00000000-0005-0000-0000-0000AA210000}"/>
    <cellStyle name="Note 3 3 2 2 2 2" xfId="7474" xr:uid="{00000000-0005-0000-0000-0000AB210000}"/>
    <cellStyle name="Note 3 3 2 2 2 2 2" xfId="15916" xr:uid="{CBEDCE0C-B053-454E-AC2F-632DAAD92A86}"/>
    <cellStyle name="Note 3 3 2 2 2 3" xfId="11698" xr:uid="{A78CC775-D059-4C3A-BC3C-068933EC60FC}"/>
    <cellStyle name="Note 3 3 2 2 3" xfId="5329" xr:uid="{00000000-0005-0000-0000-0000AC210000}"/>
    <cellStyle name="Note 3 3 2 2 3 2" xfId="13771" xr:uid="{78984DFF-7008-45CA-99D8-80485FABCD17}"/>
    <cellStyle name="Note 3 3 2 2 4" xfId="9553" xr:uid="{61B3F754-7CB3-4568-B719-60EC1158BC55}"/>
    <cellStyle name="Note 3 3 2 3" xfId="1434" xr:uid="{00000000-0005-0000-0000-0000AD210000}"/>
    <cellStyle name="Note 3 3 2 3 2" xfId="3664" xr:uid="{00000000-0005-0000-0000-0000AE210000}"/>
    <cellStyle name="Note 3 3 2 3 2 2" xfId="7887" xr:uid="{00000000-0005-0000-0000-0000AF210000}"/>
    <cellStyle name="Note 3 3 2 3 2 2 2" xfId="16329" xr:uid="{C02F5650-F173-4DDE-BA31-7BD556105F28}"/>
    <cellStyle name="Note 3 3 2 3 2 3" xfId="12111" xr:uid="{097564DF-C71E-41F7-98DC-EAD135412826}"/>
    <cellStyle name="Note 3 3 2 3 3" xfId="5742" xr:uid="{00000000-0005-0000-0000-0000B0210000}"/>
    <cellStyle name="Note 3 3 2 3 3 2" xfId="14184" xr:uid="{757FAFDD-E279-473B-942C-B7492FD95D36}"/>
    <cellStyle name="Note 3 3 2 3 4" xfId="9966" xr:uid="{967540E8-BAF5-4243-B291-382EDB97C4C4}"/>
    <cellStyle name="Note 3 3 2 4" xfId="1848" xr:uid="{00000000-0005-0000-0000-0000B1210000}"/>
    <cellStyle name="Note 3 3 2 4 2" xfId="4077" xr:uid="{00000000-0005-0000-0000-0000B2210000}"/>
    <cellStyle name="Note 3 3 2 4 2 2" xfId="8300" xr:uid="{00000000-0005-0000-0000-0000B3210000}"/>
    <cellStyle name="Note 3 3 2 4 2 2 2" xfId="16742" xr:uid="{983BD86B-FE33-45EA-A116-61B0EC72E888}"/>
    <cellStyle name="Note 3 3 2 4 2 3" xfId="12524" xr:uid="{DC5AF03D-4BC5-451C-AAAA-14D8E47BFCC3}"/>
    <cellStyle name="Note 3 3 2 4 3" xfId="6155" xr:uid="{00000000-0005-0000-0000-0000B4210000}"/>
    <cellStyle name="Note 3 3 2 4 3 2" xfId="14597" xr:uid="{09DA3210-90D7-4FE6-987D-5A530A659B9D}"/>
    <cellStyle name="Note 3 3 2 4 4" xfId="10379" xr:uid="{BD83725D-7C74-45D6-896E-A056486056C5}"/>
    <cellStyle name="Note 3 3 2 5" xfId="2261" xr:uid="{00000000-0005-0000-0000-0000B5210000}"/>
    <cellStyle name="Note 3 3 2 5 2" xfId="4490" xr:uid="{00000000-0005-0000-0000-0000B6210000}"/>
    <cellStyle name="Note 3 3 2 5 2 2" xfId="8713" xr:uid="{00000000-0005-0000-0000-0000B7210000}"/>
    <cellStyle name="Note 3 3 2 5 2 2 2" xfId="17155" xr:uid="{95BF3190-EA69-429F-B740-FC8F6E471DDD}"/>
    <cellStyle name="Note 3 3 2 5 2 3" xfId="12937" xr:uid="{983545EF-D659-4820-B5E6-9151E2E227E4}"/>
    <cellStyle name="Note 3 3 2 5 3" xfId="6568" xr:uid="{00000000-0005-0000-0000-0000B8210000}"/>
    <cellStyle name="Note 3 3 2 5 3 2" xfId="15010" xr:uid="{287D384F-6C33-4BDA-B043-6739AD29071A}"/>
    <cellStyle name="Note 3 3 2 5 4" xfId="10792" xr:uid="{0C896DAE-CC76-46FC-8AE8-A10A90AF770D}"/>
    <cellStyle name="Note 3 3 2 6" xfId="2697" xr:uid="{00000000-0005-0000-0000-0000B9210000}"/>
    <cellStyle name="Note 3 3 2 6 2" xfId="6981" xr:uid="{00000000-0005-0000-0000-0000BA210000}"/>
    <cellStyle name="Note 3 3 2 6 2 2" xfId="15423" xr:uid="{F0D0AD0B-944C-41C5-854E-C71C90ECABD1}"/>
    <cellStyle name="Note 3 3 2 6 3" xfId="11205" xr:uid="{FF8D4A35-3467-46F1-A0EE-692136153B17}"/>
    <cellStyle name="Note 3 3 2 7" xfId="2756" xr:uid="{00000000-0005-0000-0000-0000BB210000}"/>
    <cellStyle name="Note 3 3 2 8" xfId="2837" xr:uid="{00000000-0005-0000-0000-0000BC210000}"/>
    <cellStyle name="Note 3 3 2 8 2" xfId="7061" xr:uid="{00000000-0005-0000-0000-0000BD210000}"/>
    <cellStyle name="Note 3 3 2 8 2 2" xfId="15503" xr:uid="{6A333782-A95B-4445-A089-9FB720FBBA52}"/>
    <cellStyle name="Note 3 3 2 8 3" xfId="11285" xr:uid="{583A6234-5B8F-47C2-BBF5-EDE4289FCB90}"/>
    <cellStyle name="Note 3 3 2 9" xfId="4916" xr:uid="{00000000-0005-0000-0000-0000BE210000}"/>
    <cellStyle name="Note 3 3 2 9 2" xfId="13358" xr:uid="{E7770C69-B49E-4E94-A0E8-DD8B6A87BCEF}"/>
    <cellStyle name="Note 3 3 3" xfId="1018" xr:uid="{00000000-0005-0000-0000-0000BF210000}"/>
    <cellStyle name="Note 3 3 3 2" xfId="3250" xr:uid="{00000000-0005-0000-0000-0000C0210000}"/>
    <cellStyle name="Note 3 3 3 2 2" xfId="7473" xr:uid="{00000000-0005-0000-0000-0000C1210000}"/>
    <cellStyle name="Note 3 3 3 2 2 2" xfId="15915" xr:uid="{AE33F2F6-9D4B-4CB7-B4E2-A49F07BAB5E8}"/>
    <cellStyle name="Note 3 3 3 2 3" xfId="11697" xr:uid="{31CEFF28-4F96-434C-A78A-9299FEBAF168}"/>
    <cellStyle name="Note 3 3 3 3" xfId="5328" xr:uid="{00000000-0005-0000-0000-0000C2210000}"/>
    <cellStyle name="Note 3 3 3 3 2" xfId="13770" xr:uid="{F2BD4EAE-FA19-4FF9-B1A6-9D74BEFB7A45}"/>
    <cellStyle name="Note 3 3 3 4" xfId="9552" xr:uid="{B6A2E1FD-5C2A-4A89-BDCC-A8888E570B48}"/>
    <cellStyle name="Note 3 3 4" xfId="1433" xr:uid="{00000000-0005-0000-0000-0000C3210000}"/>
    <cellStyle name="Note 3 3 4 2" xfId="3663" xr:uid="{00000000-0005-0000-0000-0000C4210000}"/>
    <cellStyle name="Note 3 3 4 2 2" xfId="7886" xr:uid="{00000000-0005-0000-0000-0000C5210000}"/>
    <cellStyle name="Note 3 3 4 2 2 2" xfId="16328" xr:uid="{7C59F1B5-5B36-431A-ADB2-12AEF16F7C06}"/>
    <cellStyle name="Note 3 3 4 2 3" xfId="12110" xr:uid="{858D8D91-5550-46E5-9EE8-6F30915BFF3D}"/>
    <cellStyle name="Note 3 3 4 3" xfId="5741" xr:uid="{00000000-0005-0000-0000-0000C6210000}"/>
    <cellStyle name="Note 3 3 4 3 2" xfId="14183" xr:uid="{CA34AECE-69B2-41E3-A09E-B20686B63F41}"/>
    <cellStyle name="Note 3 3 4 4" xfId="9965" xr:uid="{9531BC0B-AD98-4751-B24F-EFB5F3112FF6}"/>
    <cellStyle name="Note 3 3 5" xfId="1847" xr:uid="{00000000-0005-0000-0000-0000C7210000}"/>
    <cellStyle name="Note 3 3 5 2" xfId="4076" xr:uid="{00000000-0005-0000-0000-0000C8210000}"/>
    <cellStyle name="Note 3 3 5 2 2" xfId="8299" xr:uid="{00000000-0005-0000-0000-0000C9210000}"/>
    <cellStyle name="Note 3 3 5 2 2 2" xfId="16741" xr:uid="{9BB1A4FD-E231-4787-B35A-BFD069B0F34C}"/>
    <cellStyle name="Note 3 3 5 2 3" xfId="12523" xr:uid="{7180EC87-5CDD-4335-A861-858E64959537}"/>
    <cellStyle name="Note 3 3 5 3" xfId="6154" xr:uid="{00000000-0005-0000-0000-0000CA210000}"/>
    <cellStyle name="Note 3 3 5 3 2" xfId="14596" xr:uid="{488D8526-F69D-4558-BD81-5E83323C0208}"/>
    <cellStyle name="Note 3 3 5 4" xfId="10378" xr:uid="{A6DE24D4-DB30-4D95-818E-A6866AD5E278}"/>
    <cellStyle name="Note 3 3 6" xfId="2260" xr:uid="{00000000-0005-0000-0000-0000CB210000}"/>
    <cellStyle name="Note 3 3 6 2" xfId="4489" xr:uid="{00000000-0005-0000-0000-0000CC210000}"/>
    <cellStyle name="Note 3 3 6 2 2" xfId="8712" xr:uid="{00000000-0005-0000-0000-0000CD210000}"/>
    <cellStyle name="Note 3 3 6 2 2 2" xfId="17154" xr:uid="{B58AFF3B-1711-4458-86FE-FB0A1F741D90}"/>
    <cellStyle name="Note 3 3 6 2 3" xfId="12936" xr:uid="{BE8A0A6C-4C1C-48E5-B4B8-C802BCBF1E6A}"/>
    <cellStyle name="Note 3 3 6 3" xfId="6567" xr:uid="{00000000-0005-0000-0000-0000CE210000}"/>
    <cellStyle name="Note 3 3 6 3 2" xfId="15009" xr:uid="{558133B4-1905-40E6-B18E-53C71D5A8064}"/>
    <cellStyle name="Note 3 3 6 4" xfId="10791" xr:uid="{B97A68DB-3043-4CE2-935E-B3340E32C9AF}"/>
    <cellStyle name="Note 3 3 7" xfId="2696" xr:uid="{00000000-0005-0000-0000-0000CF210000}"/>
    <cellStyle name="Note 3 3 7 2" xfId="6980" xr:uid="{00000000-0005-0000-0000-0000D0210000}"/>
    <cellStyle name="Note 3 3 7 2 2" xfId="15422" xr:uid="{67436EF5-4EFC-4C7A-AABA-0AAAE581632A}"/>
    <cellStyle name="Note 3 3 7 3" xfId="11204" xr:uid="{6BBC7AA4-A487-4C17-9311-D6049E817866}"/>
    <cellStyle name="Note 3 3 8" xfId="2755" xr:uid="{00000000-0005-0000-0000-0000D1210000}"/>
    <cellStyle name="Note 3 3 9" xfId="2836" xr:uid="{00000000-0005-0000-0000-0000D2210000}"/>
    <cellStyle name="Note 3 3 9 2" xfId="7060" xr:uid="{00000000-0005-0000-0000-0000D3210000}"/>
    <cellStyle name="Note 3 3 9 2 2" xfId="15502" xr:uid="{5D16EE2F-2181-43AC-82B9-9C07BC6ACC8F}"/>
    <cellStyle name="Note 3 3 9 3" xfId="11284" xr:uid="{571DCE0C-E112-42A4-9195-06E542156EB5}"/>
    <cellStyle name="Note 3 4" xfId="560" xr:uid="{00000000-0005-0000-0000-0000D4210000}"/>
    <cellStyle name="Note 3 4 10" xfId="9141" xr:uid="{75EF4179-73A7-4B64-9E54-203BF406DA71}"/>
    <cellStyle name="Note 3 4 2" xfId="1020" xr:uid="{00000000-0005-0000-0000-0000D5210000}"/>
    <cellStyle name="Note 3 4 2 2" xfId="3252" xr:uid="{00000000-0005-0000-0000-0000D6210000}"/>
    <cellStyle name="Note 3 4 2 2 2" xfId="7475" xr:uid="{00000000-0005-0000-0000-0000D7210000}"/>
    <cellStyle name="Note 3 4 2 2 2 2" xfId="15917" xr:uid="{F71B89E9-8A1E-4DC1-B0D0-E8A875A3B189}"/>
    <cellStyle name="Note 3 4 2 2 3" xfId="11699" xr:uid="{A1D7D712-207A-436A-8C86-3BC08D21E4CE}"/>
    <cellStyle name="Note 3 4 2 3" xfId="5330" xr:uid="{00000000-0005-0000-0000-0000D8210000}"/>
    <cellStyle name="Note 3 4 2 3 2" xfId="13772" xr:uid="{1772E6CC-0469-4515-9484-F6306F8CEE4A}"/>
    <cellStyle name="Note 3 4 2 4" xfId="9554" xr:uid="{15694C17-A190-41D1-B09E-A687E7E62623}"/>
    <cellStyle name="Note 3 4 3" xfId="1435" xr:uid="{00000000-0005-0000-0000-0000D9210000}"/>
    <cellStyle name="Note 3 4 3 2" xfId="3665" xr:uid="{00000000-0005-0000-0000-0000DA210000}"/>
    <cellStyle name="Note 3 4 3 2 2" xfId="7888" xr:uid="{00000000-0005-0000-0000-0000DB210000}"/>
    <cellStyle name="Note 3 4 3 2 2 2" xfId="16330" xr:uid="{F97B92B2-4B9A-429F-9F85-4B5705D82BA7}"/>
    <cellStyle name="Note 3 4 3 2 3" xfId="12112" xr:uid="{A8358FDD-75AE-498C-87E3-B9C8349A78C3}"/>
    <cellStyle name="Note 3 4 3 3" xfId="5743" xr:uid="{00000000-0005-0000-0000-0000DC210000}"/>
    <cellStyle name="Note 3 4 3 3 2" xfId="14185" xr:uid="{DBD0AC8D-80D0-4A1D-ADA7-3FE7472D7464}"/>
    <cellStyle name="Note 3 4 3 4" xfId="9967" xr:uid="{85842FC1-89C4-4444-93B1-895F5AD287A4}"/>
    <cellStyle name="Note 3 4 4" xfId="1849" xr:uid="{00000000-0005-0000-0000-0000DD210000}"/>
    <cellStyle name="Note 3 4 4 2" xfId="4078" xr:uid="{00000000-0005-0000-0000-0000DE210000}"/>
    <cellStyle name="Note 3 4 4 2 2" xfId="8301" xr:uid="{00000000-0005-0000-0000-0000DF210000}"/>
    <cellStyle name="Note 3 4 4 2 2 2" xfId="16743" xr:uid="{CA5C266B-5996-4EDD-B1BB-D7825E35AC1F}"/>
    <cellStyle name="Note 3 4 4 2 3" xfId="12525" xr:uid="{5B343D8D-3823-4267-863E-7AD3C3DA309D}"/>
    <cellStyle name="Note 3 4 4 3" xfId="6156" xr:uid="{00000000-0005-0000-0000-0000E0210000}"/>
    <cellStyle name="Note 3 4 4 3 2" xfId="14598" xr:uid="{76C988C4-9617-4397-8658-3B3EB0DE7F8E}"/>
    <cellStyle name="Note 3 4 4 4" xfId="10380" xr:uid="{928117B2-73AC-449D-9E23-0CE9CDEB4879}"/>
    <cellStyle name="Note 3 4 5" xfId="2262" xr:uid="{00000000-0005-0000-0000-0000E1210000}"/>
    <cellStyle name="Note 3 4 5 2" xfId="4491" xr:uid="{00000000-0005-0000-0000-0000E2210000}"/>
    <cellStyle name="Note 3 4 5 2 2" xfId="8714" xr:uid="{00000000-0005-0000-0000-0000E3210000}"/>
    <cellStyle name="Note 3 4 5 2 2 2" xfId="17156" xr:uid="{0949AC5C-9D31-4EF5-932A-CF87D6447CFF}"/>
    <cellStyle name="Note 3 4 5 2 3" xfId="12938" xr:uid="{FD40336F-7210-4748-8DB9-07D24F54F227}"/>
    <cellStyle name="Note 3 4 5 3" xfId="6569" xr:uid="{00000000-0005-0000-0000-0000E4210000}"/>
    <cellStyle name="Note 3 4 5 3 2" xfId="15011" xr:uid="{2E06CA10-0766-4339-B3A4-D1B22CA5D0DE}"/>
    <cellStyle name="Note 3 4 5 4" xfId="10793" xr:uid="{96E100F4-9227-48AE-9D30-168786450F92}"/>
    <cellStyle name="Note 3 4 6" xfId="2698" xr:uid="{00000000-0005-0000-0000-0000E5210000}"/>
    <cellStyle name="Note 3 4 6 2" xfId="6982" xr:uid="{00000000-0005-0000-0000-0000E6210000}"/>
    <cellStyle name="Note 3 4 6 2 2" xfId="15424" xr:uid="{50C8A260-ABBB-4D29-AA30-BCA761A230DE}"/>
    <cellStyle name="Note 3 4 6 3" xfId="11206" xr:uid="{D4985B3C-B01E-4932-BA08-2AABD4EA203C}"/>
    <cellStyle name="Note 3 4 7" xfId="2757" xr:uid="{00000000-0005-0000-0000-0000E7210000}"/>
    <cellStyle name="Note 3 4 8" xfId="2838" xr:uid="{00000000-0005-0000-0000-0000E8210000}"/>
    <cellStyle name="Note 3 4 8 2" xfId="7062" xr:uid="{00000000-0005-0000-0000-0000E9210000}"/>
    <cellStyle name="Note 3 4 8 2 2" xfId="15504" xr:uid="{8275EDC6-9158-4F25-8635-1AEA657D17ED}"/>
    <cellStyle name="Note 3 4 8 3" xfId="11286" xr:uid="{0481CBDB-3726-44BD-A424-D430F15558B6}"/>
    <cellStyle name="Note 3 4 9" xfId="4917" xr:uid="{00000000-0005-0000-0000-0000EA210000}"/>
    <cellStyle name="Note 3 4 9 2" xfId="13359" xr:uid="{E151A74E-A8EA-42A5-BBAD-F70B81417FC7}"/>
    <cellStyle name="Note 3 5" xfId="561" xr:uid="{00000000-0005-0000-0000-0000EB210000}"/>
    <cellStyle name="Note 3 5 10" xfId="9142" xr:uid="{9D6B325B-7ED1-45E8-AA49-61ACF39CC4FD}"/>
    <cellStyle name="Note 3 5 2" xfId="1021" xr:uid="{00000000-0005-0000-0000-0000EC210000}"/>
    <cellStyle name="Note 3 5 2 2" xfId="3253" xr:uid="{00000000-0005-0000-0000-0000ED210000}"/>
    <cellStyle name="Note 3 5 2 2 2" xfId="7476" xr:uid="{00000000-0005-0000-0000-0000EE210000}"/>
    <cellStyle name="Note 3 5 2 2 2 2" xfId="15918" xr:uid="{205CB3EA-208F-4D33-857B-BE3B9D720D8F}"/>
    <cellStyle name="Note 3 5 2 2 3" xfId="11700" xr:uid="{840D6C55-4069-4C96-92C7-C697D274BDB1}"/>
    <cellStyle name="Note 3 5 2 3" xfId="5331" xr:uid="{00000000-0005-0000-0000-0000EF210000}"/>
    <cellStyle name="Note 3 5 2 3 2" xfId="13773" xr:uid="{9BF6A465-85DA-4BDE-B53D-EC940E97E301}"/>
    <cellStyle name="Note 3 5 2 4" xfId="9555" xr:uid="{42473623-3A17-4E8A-BA0C-D1C3893CE79D}"/>
    <cellStyle name="Note 3 5 3" xfId="1436" xr:uid="{00000000-0005-0000-0000-0000F0210000}"/>
    <cellStyle name="Note 3 5 3 2" xfId="3666" xr:uid="{00000000-0005-0000-0000-0000F1210000}"/>
    <cellStyle name="Note 3 5 3 2 2" xfId="7889" xr:uid="{00000000-0005-0000-0000-0000F2210000}"/>
    <cellStyle name="Note 3 5 3 2 2 2" xfId="16331" xr:uid="{DCFA2163-4E35-4AAA-90CF-DBFE9214F538}"/>
    <cellStyle name="Note 3 5 3 2 3" xfId="12113" xr:uid="{1FB75734-0E9D-4921-9D46-3FA2047D1C28}"/>
    <cellStyle name="Note 3 5 3 3" xfId="5744" xr:uid="{00000000-0005-0000-0000-0000F3210000}"/>
    <cellStyle name="Note 3 5 3 3 2" xfId="14186" xr:uid="{47CFC9BC-212C-42E5-B43A-07692022C41D}"/>
    <cellStyle name="Note 3 5 3 4" xfId="9968" xr:uid="{998D33C8-2B83-4B3E-98A4-52BC467DF317}"/>
    <cellStyle name="Note 3 5 4" xfId="1850" xr:uid="{00000000-0005-0000-0000-0000F4210000}"/>
    <cellStyle name="Note 3 5 4 2" xfId="4079" xr:uid="{00000000-0005-0000-0000-0000F5210000}"/>
    <cellStyle name="Note 3 5 4 2 2" xfId="8302" xr:uid="{00000000-0005-0000-0000-0000F6210000}"/>
    <cellStyle name="Note 3 5 4 2 2 2" xfId="16744" xr:uid="{94BB2CA0-0144-449C-B1F2-94A3067D79DF}"/>
    <cellStyle name="Note 3 5 4 2 3" xfId="12526" xr:uid="{1788FDDE-7A1B-4061-8D97-F531B25DF457}"/>
    <cellStyle name="Note 3 5 4 3" xfId="6157" xr:uid="{00000000-0005-0000-0000-0000F7210000}"/>
    <cellStyle name="Note 3 5 4 3 2" xfId="14599" xr:uid="{5ECB3B63-EEC4-4885-94CA-81FCC9DDB84E}"/>
    <cellStyle name="Note 3 5 4 4" xfId="10381" xr:uid="{E9AF83D6-E187-4FE9-B606-2564F1CFD9A4}"/>
    <cellStyle name="Note 3 5 5" xfId="2263" xr:uid="{00000000-0005-0000-0000-0000F8210000}"/>
    <cellStyle name="Note 3 5 5 2" xfId="4492" xr:uid="{00000000-0005-0000-0000-0000F9210000}"/>
    <cellStyle name="Note 3 5 5 2 2" xfId="8715" xr:uid="{00000000-0005-0000-0000-0000FA210000}"/>
    <cellStyle name="Note 3 5 5 2 2 2" xfId="17157" xr:uid="{DBE3063D-FC19-4F37-B15B-F743E76BA4F4}"/>
    <cellStyle name="Note 3 5 5 2 3" xfId="12939" xr:uid="{DCB4F82C-8245-41B1-B595-450E98F49BD4}"/>
    <cellStyle name="Note 3 5 5 3" xfId="6570" xr:uid="{00000000-0005-0000-0000-0000FB210000}"/>
    <cellStyle name="Note 3 5 5 3 2" xfId="15012" xr:uid="{F36A307A-61F1-4C77-8C1E-4A356E3ECB63}"/>
    <cellStyle name="Note 3 5 5 4" xfId="10794" xr:uid="{962A998E-B17C-483C-8B3D-07C7384C01C2}"/>
    <cellStyle name="Note 3 5 6" xfId="2699" xr:uid="{00000000-0005-0000-0000-0000FC210000}"/>
    <cellStyle name="Note 3 5 6 2" xfId="6983" xr:uid="{00000000-0005-0000-0000-0000FD210000}"/>
    <cellStyle name="Note 3 5 6 2 2" xfId="15425" xr:uid="{B1FD8BCA-96EF-4692-8E0A-5CDA3594129B}"/>
    <cellStyle name="Note 3 5 6 3" xfId="11207" xr:uid="{CBFDC8A3-E258-4A8D-8830-F99A0758D85D}"/>
    <cellStyle name="Note 3 5 7" xfId="2758" xr:uid="{00000000-0005-0000-0000-0000FE210000}"/>
    <cellStyle name="Note 3 5 8" xfId="2839" xr:uid="{00000000-0005-0000-0000-0000FF210000}"/>
    <cellStyle name="Note 3 5 8 2" xfId="7063" xr:uid="{00000000-0005-0000-0000-000000220000}"/>
    <cellStyle name="Note 3 5 8 2 2" xfId="15505" xr:uid="{55CF3373-0D3A-4CEB-92C8-C5519FCF4DED}"/>
    <cellStyle name="Note 3 5 8 3" xfId="11287" xr:uid="{C7B1CFC3-38B6-4FCA-80CB-FABFEF1CEBB3}"/>
    <cellStyle name="Note 3 5 9" xfId="4918" xr:uid="{00000000-0005-0000-0000-000001220000}"/>
    <cellStyle name="Note 3 5 9 2" xfId="13360" xr:uid="{1556B46F-1148-423F-ACF3-ECE6E8ABAD1C}"/>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119C434F-3CDD-48E5-B0BB-F38799CFE24E}"/>
    <cellStyle name="Percent 4" xfId="4502" xr:uid="{00000000-0005-0000-0000-000007220000}"/>
    <cellStyle name="Percent 4 2" xfId="8718" xr:uid="{00000000-0005-0000-0000-000008220000}"/>
    <cellStyle name="Percent 4 2 2" xfId="17160" xr:uid="{338ABAE8-35B6-4B82-BAB8-A7D4E7B3E6D0}"/>
    <cellStyle name="Percent 4 3" xfId="8721" xr:uid="{D09CD3FC-D632-4B66-A68A-5CC92F993799}"/>
    <cellStyle name="Percent 4 3 2" xfId="8725" xr:uid="{D57AE941-8E59-43F0-AB73-09B3BCCFA234}"/>
    <cellStyle name="Percent 4 3 2 2" xfId="8728" xr:uid="{D24D76A7-D076-4554-9944-551B122393DE}"/>
    <cellStyle name="Percent 4 3 2 2 2" xfId="17169" xr:uid="{CDAAC15C-D8AB-4D17-8ED4-CDC2DBCBAD2D}"/>
    <cellStyle name="Percent 4 3 2 3" xfId="17166" xr:uid="{5F9B9AD4-BE86-4D4B-9564-C6CC2036F5F1}"/>
    <cellStyle name="Percent 4 3 3" xfId="17163" xr:uid="{825C4AA8-375C-4F4F-A221-06739F75DCEC}"/>
    <cellStyle name="Percent 4 4" xfId="12946" xr:uid="{9251B764-CA69-4C3B-B18C-60F6FA15330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6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9" sqref="AB59:AF59"/>
    </sheetView>
  </sheetViews>
  <sheetFormatPr defaultColWidth="0" defaultRowHeight="13.15" customHeight="1"/>
  <cols>
    <col min="1" max="1" width="1.42578125" style="433" customWidth="1"/>
    <col min="2" max="2" width="0.71093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71093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71093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71093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71093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71093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71093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71093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71093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71093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71093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71093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71093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71093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71093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71093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71093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71093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71093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71093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71093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71093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71093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71093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71093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71093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71093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71093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71093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71093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71093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71093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71093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71093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71093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71093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71093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71093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71093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71093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71093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71093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71093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71093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71093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71093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71093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71093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71093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71093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71093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71093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71093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71093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71093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71093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71093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71093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71093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71093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71093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71093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71093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71093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3.15" customHeight="1">
      <c r="A1" s="2654" t="s">
        <v>1390</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3.1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1345</v>
      </c>
    </row>
    <row r="7" spans="1:40" ht="13.1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3.1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3.1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3.1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3.15"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56320294</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3.15" customHeight="1">
      <c r="B12" s="2658" t="s">
        <v>505</v>
      </c>
      <c r="C12" s="1283"/>
      <c r="D12" s="1283"/>
      <c r="E12" s="1283"/>
      <c r="F12" s="1283"/>
      <c r="G12" s="1283"/>
      <c r="H12" s="1283"/>
      <c r="I12" s="1283"/>
      <c r="J12" s="1283"/>
      <c r="K12" s="1283"/>
      <c r="L12" s="1283"/>
      <c r="M12" s="1283"/>
      <c r="N12" s="1283"/>
      <c r="O12" s="1283"/>
      <c r="P12" s="1283"/>
      <c r="Q12" s="1283"/>
      <c r="R12" s="1283"/>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3.15" customHeight="1">
      <c r="B13" s="467"/>
      <c r="C13" s="2660" t="s">
        <v>506</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3.15" customHeight="1">
      <c r="B14" s="467"/>
      <c r="C14" s="2660" t="s">
        <v>507</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3.15" customHeight="1">
      <c r="B15" s="467"/>
      <c r="C15" s="2660" t="s">
        <v>508</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3.15" customHeight="1">
      <c r="B16" s="467"/>
      <c r="C16" s="2660" t="s">
        <v>814</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3.15" customHeight="1">
      <c r="B17" s="467"/>
      <c r="C17" s="2660" t="s">
        <v>509</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3.15" customHeight="1">
      <c r="A18"/>
      <c r="B18" s="1194"/>
      <c r="C18" s="1657" t="s">
        <v>979</v>
      </c>
      <c r="D18" s="1657"/>
      <c r="E18" s="1657"/>
      <c r="F18" s="1657"/>
      <c r="G18" s="1657"/>
      <c r="H18" s="1657"/>
      <c r="I18" s="1657"/>
      <c r="J18" s="1657"/>
      <c r="K18" s="1657"/>
      <c r="L18" s="1657"/>
      <c r="M18" s="1657"/>
      <c r="N18" s="1657"/>
      <c r="O18" s="1657"/>
      <c r="P18" s="1657"/>
      <c r="Q18" s="1657"/>
      <c r="R18" s="1657"/>
      <c r="S18" s="1658"/>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3.15" customHeight="1">
      <c r="B19" s="1194"/>
      <c r="C19" s="1657" t="s">
        <v>979</v>
      </c>
      <c r="D19" s="1657"/>
      <c r="E19" s="1657"/>
      <c r="F19" s="1657"/>
      <c r="G19" s="1657"/>
      <c r="H19" s="1657"/>
      <c r="I19" s="1657"/>
      <c r="J19" s="1657"/>
      <c r="K19" s="1657"/>
      <c r="L19" s="1657"/>
      <c r="M19" s="1657"/>
      <c r="N19" s="1657"/>
      <c r="O19" s="1657"/>
      <c r="P19" s="1657"/>
      <c r="Q19" s="1657"/>
      <c r="R19" s="1657"/>
      <c r="S19" s="1658"/>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3.15" customHeight="1">
      <c r="B20" s="2617" t="s">
        <v>510</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3.15" customHeight="1">
      <c r="B21" s="2617" t="s">
        <v>1373</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3.15" customHeight="1">
      <c r="B22" s="2617" t="s">
        <v>511</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3.15" customHeight="1">
      <c r="B23" s="2617" t="s">
        <v>512</v>
      </c>
      <c r="C23" s="2618"/>
      <c r="D23" s="2618"/>
      <c r="E23" s="2618"/>
      <c r="F23" s="2618"/>
      <c r="G23" s="2618"/>
      <c r="H23" s="2618"/>
      <c r="I23" s="2618"/>
      <c r="J23" s="2618"/>
      <c r="K23" s="2618"/>
      <c r="L23" s="2618"/>
      <c r="M23" s="2618"/>
      <c r="N23" s="2618"/>
      <c r="O23" s="2618"/>
      <c r="P23" s="2618"/>
      <c r="Q23" s="2618"/>
      <c r="R23" s="2618"/>
      <c r="S23" s="2619"/>
      <c r="T23" s="2633">
        <f>T11+T22</f>
        <v>56320294</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3.15" customHeight="1">
      <c r="B24" s="2617" t="s">
        <v>980</v>
      </c>
      <c r="C24" s="2618"/>
      <c r="D24" s="2618"/>
      <c r="E24" s="2618"/>
      <c r="F24" s="2618"/>
      <c r="G24" s="2618"/>
      <c r="H24" s="2618"/>
      <c r="I24" s="2618"/>
      <c r="J24" s="2618"/>
      <c r="K24" s="2618"/>
      <c r="L24" s="2618"/>
      <c r="M24" s="2618"/>
      <c r="N24" s="2618"/>
      <c r="O24" s="2618"/>
      <c r="P24" s="2618"/>
      <c r="Q24" s="2618"/>
      <c r="R24" s="2618"/>
      <c r="S24" s="2619"/>
      <c r="T24" s="2621">
        <f>Application!AJ1052</f>
        <v>108787412.36</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3.15" customHeight="1">
      <c r="B25" s="2664" t="s">
        <v>1374</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3.15" customHeight="1">
      <c r="B26" s="2617" t="s">
        <v>513</v>
      </c>
      <c r="C26" s="2618"/>
      <c r="D26" s="2618"/>
      <c r="E26" s="2618"/>
      <c r="F26" s="2618"/>
      <c r="G26" s="2618"/>
      <c r="H26" s="2618"/>
      <c r="I26" s="2618"/>
      <c r="J26" s="2618"/>
      <c r="K26" s="2618"/>
      <c r="L26" s="2618"/>
      <c r="M26" s="2618"/>
      <c r="N26" s="2618"/>
      <c r="O26" s="2618"/>
      <c r="P26" s="2618"/>
      <c r="Q26" s="2618"/>
      <c r="R26" s="2618"/>
      <c r="S26" s="2619"/>
      <c r="T26" s="2633">
        <f>T23*T25</f>
        <v>73216382.200000003</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3.1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3.15" customHeight="1">
      <c r="A28" s="435"/>
      <c r="B28" s="2617" t="s">
        <v>514</v>
      </c>
      <c r="C28" s="2618"/>
      <c r="D28" s="2618"/>
      <c r="E28" s="2618"/>
      <c r="F28" s="2618"/>
      <c r="G28" s="2618"/>
      <c r="H28" s="2618"/>
      <c r="I28" s="2618"/>
      <c r="J28" s="2618"/>
      <c r="K28" s="2618"/>
      <c r="L28" s="2618"/>
      <c r="M28" s="2618"/>
      <c r="N28" s="2618"/>
      <c r="O28" s="2618"/>
      <c r="P28" s="2618"/>
      <c r="Q28" s="2618"/>
      <c r="R28" s="2618"/>
      <c r="S28" s="2619"/>
      <c r="T28" s="2633">
        <f>IF(ISERROR((T26*T27)),0,(T26*T27))</f>
        <v>73216382.200000003</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3.15" customHeight="1">
      <c r="B29" s="2617" t="s">
        <v>531</v>
      </c>
      <c r="C29" s="2618"/>
      <c r="D29" s="2618"/>
      <c r="E29" s="2618"/>
      <c r="F29" s="2618"/>
      <c r="G29" s="2618"/>
      <c r="H29" s="2618"/>
      <c r="I29" s="2618"/>
      <c r="J29" s="2618"/>
      <c r="K29" s="2618"/>
      <c r="L29" s="2618"/>
      <c r="M29" s="2618"/>
      <c r="N29" s="2618"/>
      <c r="O29" s="2618"/>
      <c r="P29" s="2618"/>
      <c r="Q29" s="2618"/>
      <c r="R29" s="2618"/>
      <c r="S29" s="2619"/>
      <c r="T29" s="2621">
        <f>T28+Y28+AD28+AI28</f>
        <v>73216382.200000003</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3.15" customHeight="1">
      <c r="B30" s="2637" t="s">
        <v>1376</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3.15" customHeight="1">
      <c r="B31" s="2637" t="s">
        <v>1375</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584</v>
      </c>
      <c r="C34" s="435" t="s">
        <v>576</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1256</v>
      </c>
      <c r="Z35" s="2634"/>
      <c r="AA35" s="2634"/>
      <c r="AB35" s="2634"/>
      <c r="AC35" s="2634"/>
      <c r="AD35" s="2635" t="s">
        <v>370</v>
      </c>
      <c r="AE35" s="2635"/>
      <c r="AF35" s="2635"/>
      <c r="AG35" s="2635"/>
      <c r="AH35" s="2635"/>
    </row>
    <row r="36" spans="1:76" ht="13.15" customHeight="1">
      <c r="B36" s="438"/>
      <c r="X36" s="443"/>
      <c r="Y36" s="2634"/>
      <c r="Z36" s="2634"/>
      <c r="AA36" s="2634"/>
      <c r="AB36" s="2634"/>
      <c r="AC36" s="2634"/>
      <c r="AD36" s="2635"/>
      <c r="AE36" s="2635"/>
      <c r="AF36" s="2635"/>
      <c r="AG36" s="2635"/>
      <c r="AH36" s="2635"/>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3.15" customHeight="1">
      <c r="A38" s="435"/>
      <c r="B38" s="2617" t="s">
        <v>514</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73216382.200000003</v>
      </c>
      <c r="Z38" s="2611"/>
      <c r="AA38" s="2611"/>
      <c r="AB38" s="2611"/>
      <c r="AC38" s="2611"/>
      <c r="AD38" s="2611">
        <f>IF(T24&gt;=(T23+Y23+AD23+AI23),AD28+AI28,0)</f>
        <v>0</v>
      </c>
      <c r="AE38" s="2611"/>
      <c r="AF38" s="2611"/>
      <c r="AG38" s="2611"/>
      <c r="AH38" s="2611"/>
    </row>
    <row r="39" spans="1:76" ht="13.15" customHeight="1">
      <c r="B39" s="2617" t="s">
        <v>1881</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3.1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2928655</v>
      </c>
      <c r="Z40" s="2611"/>
      <c r="AA40" s="2611"/>
      <c r="AB40" s="2611"/>
      <c r="AC40" s="2611"/>
      <c r="AD40" s="2633">
        <f>ROUND(AD38*AD39,0)</f>
        <v>0</v>
      </c>
      <c r="AE40" s="2611"/>
      <c r="AF40" s="2611"/>
      <c r="AG40" s="2611"/>
      <c r="AH40" s="2611"/>
    </row>
    <row r="41" spans="1:76" ht="13.1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2928655</v>
      </c>
      <c r="Z41" s="2632"/>
      <c r="AA41" s="2632"/>
      <c r="AB41" s="2632"/>
      <c r="AC41" s="2632"/>
      <c r="AD41" s="2632"/>
      <c r="AE41" s="2632"/>
      <c r="AF41" s="2632"/>
      <c r="AG41" s="2632"/>
      <c r="AH41" s="2633"/>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31" t="s">
        <v>1386</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3.15" customHeight="1" thickTop="1"/>
    <row r="46" spans="1:76" ht="13.15" customHeight="1">
      <c r="A46" s="435" t="s">
        <v>594</v>
      </c>
      <c r="C46" s="435" t="s">
        <v>283</v>
      </c>
    </row>
    <row r="47" spans="1:76" ht="13.15" customHeight="1">
      <c r="D47" s="435" t="s">
        <v>284</v>
      </c>
      <c r="AB47" s="2625">
        <f>'Sources and Uses Budget'!B105-MAX(IF('Sources and Uses Budget'!B15="",0,'Sources and Uses Budget'!B15),IF(Application!AG394="",0,Application!AG394))</f>
        <v>61613323</v>
      </c>
      <c r="AC47" s="2626"/>
      <c r="AD47" s="2626"/>
      <c r="AE47" s="2626"/>
      <c r="AF47" s="2627"/>
    </row>
    <row r="48" spans="1:76" ht="13.15" customHeight="1">
      <c r="D48" s="435" t="s">
        <v>21</v>
      </c>
      <c r="AB48" s="2625">
        <f>Application!AO639-MAX(IF('Sources and Uses Budget'!B15="",0,'Sources and Uses Budget'!B15),IF(Application!AG394="",0,Application!AG394))</f>
        <v>28439418</v>
      </c>
      <c r="AC48" s="2626"/>
      <c r="AD48" s="2626"/>
      <c r="AE48" s="2626"/>
      <c r="AF48" s="2627"/>
    </row>
    <row r="49" spans="1:76" ht="13.15" customHeight="1">
      <c r="D49" s="435" t="s">
        <v>91</v>
      </c>
      <c r="AB49" s="2625">
        <f>AB47-AB48</f>
        <v>33173905</v>
      </c>
      <c r="AC49" s="2626"/>
      <c r="AD49" s="2626"/>
      <c r="AE49" s="2626"/>
      <c r="AF49" s="2627"/>
    </row>
    <row r="50" spans="1:76" ht="13.15" customHeight="1">
      <c r="D50" s="435" t="s">
        <v>689</v>
      </c>
      <c r="AA50" s="446"/>
      <c r="AB50" s="2613">
        <v>0.91423352000000002</v>
      </c>
      <c r="AC50" s="2614"/>
      <c r="AD50" s="2614"/>
      <c r="AE50" s="2614"/>
      <c r="AF50" s="2615"/>
    </row>
    <row r="51" spans="1:76" s="448" customFormat="1" ht="13.15" customHeight="1">
      <c r="A51" s="433"/>
      <c r="B51" s="433"/>
      <c r="C51" s="433"/>
      <c r="D51" s="433"/>
      <c r="E51" s="2624" t="s">
        <v>2041</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25">
        <f>ROUND(IF(ISERROR((AB49/AB50)),0,(AB49/AB50)),0)</f>
        <v>36286030</v>
      </c>
      <c r="AC54" s="2626"/>
      <c r="AD54" s="2626"/>
      <c r="AE54" s="2626"/>
      <c r="AF54" s="2627"/>
    </row>
    <row r="55" spans="1:76" ht="13.15" customHeight="1">
      <c r="D55" s="435" t="s">
        <v>334</v>
      </c>
      <c r="AB55" s="2625">
        <f>(AB54/10)</f>
        <v>3628603</v>
      </c>
      <c r="AC55" s="2626"/>
      <c r="AD55" s="2626"/>
      <c r="AE55" s="2626"/>
      <c r="AF55" s="2627"/>
    </row>
    <row r="56" spans="1:76" ht="13.15" customHeight="1">
      <c r="D56" s="435" t="s">
        <v>765</v>
      </c>
      <c r="AB56" s="2628">
        <f>(IF((Y41&lt;AB55),Y41,AB55))</f>
        <v>2928655</v>
      </c>
      <c r="AC56" s="2629"/>
      <c r="AD56" s="2629"/>
      <c r="AE56" s="2629"/>
      <c r="AF56" s="2630"/>
    </row>
    <row r="57" spans="1:76" ht="13.15" customHeight="1">
      <c r="D57" s="435" t="s">
        <v>764</v>
      </c>
      <c r="AB57" s="2625">
        <f>ROUND((10*AB56*AB50),0)</f>
        <v>26774746</v>
      </c>
      <c r="AC57" s="2626"/>
      <c r="AD57" s="2626"/>
      <c r="AE57" s="2626"/>
      <c r="AF57" s="2627"/>
    </row>
    <row r="58" spans="1:76" ht="13.15" customHeight="1">
      <c r="D58" s="435"/>
      <c r="AB58" s="454"/>
      <c r="AC58" s="454"/>
      <c r="AD58" s="454"/>
      <c r="AE58" s="454"/>
      <c r="AF58" s="454"/>
    </row>
    <row r="59" spans="1:76" ht="13.15" customHeight="1">
      <c r="D59" s="435" t="s">
        <v>763</v>
      </c>
      <c r="AB59" s="2609">
        <f>AB49-AB57</f>
        <v>6399159</v>
      </c>
      <c r="AC59" s="2609"/>
      <c r="AD59" s="2609"/>
      <c r="AE59" s="2609"/>
      <c r="AF59" s="2609"/>
    </row>
    <row r="60" spans="1:76" ht="13.15" customHeight="1">
      <c r="D60" s="435"/>
      <c r="AB60" s="454"/>
      <c r="AC60" s="454"/>
      <c r="AD60" s="454"/>
      <c r="AE60" s="454"/>
      <c r="AF60" s="454"/>
    </row>
    <row r="61" spans="1:76" s="218" customFormat="1" ht="13.1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3.15" customHeight="1" thickTop="1"/>
    <row r="63" spans="1:76" ht="13.15" customHeight="1">
      <c r="A63" s="435" t="s">
        <v>597</v>
      </c>
      <c r="C63" s="219" t="s">
        <v>1357</v>
      </c>
      <c r="Y63" s="2620" t="s">
        <v>1003</v>
      </c>
      <c r="Z63" s="2620"/>
      <c r="AA63" s="2620"/>
      <c r="AB63" s="2620"/>
      <c r="AC63" s="2620"/>
      <c r="AD63" s="2620" t="s">
        <v>370</v>
      </c>
      <c r="AE63" s="2620"/>
      <c r="AF63" s="2620"/>
      <c r="AG63" s="2620"/>
      <c r="AH63" s="2620"/>
    </row>
    <row r="64" spans="1:76" ht="13.1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56320294</v>
      </c>
      <c r="Z64" s="2622"/>
      <c r="AA64" s="2622"/>
      <c r="AB64" s="2622"/>
      <c r="AC64" s="2623"/>
      <c r="AD64" s="2621">
        <f>IF(AND(OR(Application!D211="At-Risk",Application!D211="At-Risk and Special Needs"),Application!M358="yes"),AD28+AI28,0)</f>
        <v>0</v>
      </c>
      <c r="AE64" s="2622"/>
      <c r="AF64" s="2622"/>
      <c r="AG64" s="2622"/>
      <c r="AH64" s="2623"/>
    </row>
    <row r="65" spans="1:36" ht="13.1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IF(Application!AP205="yes",0.75,IF(Application!Z204="15% set-aside",0.13,IF(Application!Z204="15% set-aside with qualifying low value rehab",0.95,0.3)))</f>
        <v>0.3</v>
      </c>
      <c r="Z67" s="2610"/>
      <c r="AA67" s="2610"/>
      <c r="AB67" s="2610"/>
      <c r="AC67" s="2610"/>
      <c r="AD67" s="2610">
        <f>IF(Application!Z204="15% set-aside with qualifying low value rehab", 0.95,0.13)</f>
        <v>0.13</v>
      </c>
      <c r="AE67" s="2610"/>
      <c r="AF67" s="2610"/>
      <c r="AG67" s="2610"/>
      <c r="AH67" s="2610"/>
    </row>
    <row r="68" spans="1:36" ht="13.15" customHeight="1">
      <c r="C68" s="435"/>
      <c r="D68" s="219" t="s">
        <v>1359</v>
      </c>
      <c r="Y68" s="2611">
        <f>ROUND(Y64*Y67,0)</f>
        <v>16896088</v>
      </c>
      <c r="Z68" s="2612"/>
      <c r="AA68" s="2612"/>
      <c r="AB68" s="2612"/>
      <c r="AC68" s="2612"/>
      <c r="AD68" s="2611">
        <f>ROUND(AD64*AD67,0)</f>
        <v>0</v>
      </c>
      <c r="AE68" s="2612"/>
      <c r="AF68" s="2612"/>
      <c r="AG68" s="2612"/>
      <c r="AH68" s="2612"/>
    </row>
    <row r="69" spans="1:36" ht="13.15" customHeight="1">
      <c r="C69" s="435"/>
      <c r="E69" s="435"/>
      <c r="AB69" s="453"/>
      <c r="AC69" s="453"/>
      <c r="AD69" s="453"/>
      <c r="AE69" s="453"/>
      <c r="AF69" s="453"/>
    </row>
    <row r="70" spans="1:36" ht="13.15" customHeight="1">
      <c r="A70" s="435" t="s">
        <v>598</v>
      </c>
      <c r="C70" s="219" t="s">
        <v>285</v>
      </c>
    </row>
    <row r="71" spans="1:36" ht="13.15" customHeight="1">
      <c r="A71" s="435"/>
      <c r="C71" s="435"/>
      <c r="D71" s="219" t="s">
        <v>1360</v>
      </c>
      <c r="AB71" s="2613">
        <v>0.86454690000000001</v>
      </c>
      <c r="AC71" s="2614"/>
      <c r="AD71" s="2614"/>
      <c r="AE71" s="2614"/>
      <c r="AF71" s="2615"/>
    </row>
    <row r="72" spans="1:36" ht="13.15" customHeight="1">
      <c r="A72" s="435"/>
      <c r="C72" s="435"/>
      <c r="D72" s="435"/>
      <c r="E72" s="2616" t="s">
        <v>1361</v>
      </c>
      <c r="F72" s="2616"/>
      <c r="G72" s="2616"/>
      <c r="H72" s="2616"/>
      <c r="I72" s="2616"/>
      <c r="J72" s="2616"/>
      <c r="K72" s="2616"/>
      <c r="L72" s="2616"/>
      <c r="M72" s="2616"/>
      <c r="N72" s="2616"/>
      <c r="O72" s="2616"/>
      <c r="P72" s="2616"/>
      <c r="Q72" s="2616"/>
      <c r="R72" s="2616"/>
      <c r="S72" s="2616"/>
      <c r="T72" s="2616"/>
      <c r="U72" s="2616"/>
      <c r="V72" s="2616"/>
      <c r="W72" s="2616"/>
      <c r="X72" s="2616"/>
      <c r="Y72" s="2616"/>
      <c r="Z72" s="2616"/>
      <c r="AA72" s="2616"/>
      <c r="AB72" s="471"/>
      <c r="AC72" s="471"/>
    </row>
    <row r="73" spans="1:36" ht="13.15" customHeight="1">
      <c r="A73" s="435"/>
      <c r="C73" s="435"/>
      <c r="D73" s="435"/>
      <c r="E73" s="2616"/>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3.1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3.1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5" customHeight="1">
      <c r="C76" s="435"/>
      <c r="D76" s="219" t="s">
        <v>1362</v>
      </c>
      <c r="AB76" s="2604">
        <f>ROUND(IF(ISERROR((AB59/AB71)),0,(AB59/AB71)),0)</f>
        <v>7401749</v>
      </c>
      <c r="AC76" s="2604"/>
      <c r="AD76" s="2604"/>
      <c r="AE76" s="2604"/>
      <c r="AF76" s="2604"/>
    </row>
    <row r="77" spans="1:36" ht="13.15" customHeight="1">
      <c r="C77" s="435"/>
      <c r="D77" s="219" t="s">
        <v>1363</v>
      </c>
      <c r="AB77" s="2605">
        <f>IF((Y68+AD68&lt;AB76),Y68+AD68,AB76)</f>
        <v>7401749</v>
      </c>
      <c r="AC77" s="2606"/>
      <c r="AD77" s="2606"/>
      <c r="AE77" s="2606"/>
      <c r="AF77" s="2607"/>
    </row>
    <row r="78" spans="1:36" ht="13.15" customHeight="1">
      <c r="C78" s="435"/>
      <c r="D78" s="219" t="s">
        <v>1364</v>
      </c>
      <c r="AB78" s="2608">
        <f>AB77*AB71</f>
        <v>6399159.1525280997</v>
      </c>
      <c r="AC78" s="2608"/>
      <c r="AD78" s="2608"/>
      <c r="AE78" s="2608"/>
      <c r="AF78" s="2608"/>
    </row>
    <row r="79" spans="1:36" ht="13.15" customHeight="1">
      <c r="C79" s="435"/>
      <c r="D79" s="435"/>
      <c r="AB79" s="456"/>
      <c r="AC79" s="456"/>
      <c r="AD79" s="456"/>
      <c r="AE79" s="456"/>
      <c r="AF79" s="456"/>
    </row>
    <row r="80" spans="1:36" ht="13.15" customHeight="1">
      <c r="D80" s="435" t="s">
        <v>763</v>
      </c>
      <c r="AB80" s="2609">
        <f>AB49-(AB57+AB78)</f>
        <v>-0.15252809971570969</v>
      </c>
      <c r="AC80" s="2609"/>
      <c r="AD80" s="2609"/>
      <c r="AE80" s="2609"/>
      <c r="AF80" s="2609"/>
    </row>
    <row r="81" spans="1:78" ht="13.15" customHeight="1">
      <c r="F81" s="556"/>
      <c r="J81" s="556" t="str">
        <f>IF(AB80&gt;0,"FUNDING GAP MUST NOT EXCEED ZERO","")</f>
        <v/>
      </c>
    </row>
    <row r="82" spans="1:78" ht="13.15" customHeight="1">
      <c r="D82" s="557"/>
    </row>
    <row r="83" spans="1:78" ht="13.15" customHeight="1" thickBot="1">
      <c r="A83" s="2631"/>
      <c r="B83" s="2631"/>
      <c r="C83" s="2631"/>
      <c r="D83" s="2631"/>
      <c r="E83" s="2631"/>
      <c r="F83" s="2631"/>
      <c r="G83" s="2631"/>
      <c r="H83" s="2631"/>
      <c r="I83" s="2631"/>
      <c r="J83" s="2631"/>
      <c r="K83" s="2631"/>
      <c r="L83" s="2631"/>
      <c r="M83" s="2631"/>
      <c r="N83" s="2631"/>
      <c r="O83" s="2631"/>
      <c r="P83" s="2631"/>
      <c r="Q83" s="2631"/>
      <c r="R83" s="2631"/>
      <c r="S83" s="2631"/>
      <c r="T83" s="2631"/>
      <c r="U83" s="2631"/>
      <c r="V83" s="2631"/>
      <c r="W83" s="2631"/>
      <c r="X83" s="2631"/>
      <c r="Y83" s="2631"/>
      <c r="Z83" s="2631"/>
      <c r="AA83" s="2631"/>
      <c r="AB83" s="2631"/>
      <c r="AC83" s="2631"/>
      <c r="AD83" s="2631"/>
      <c r="AE83" s="2631"/>
      <c r="AF83" s="2631"/>
      <c r="AG83" s="2631"/>
      <c r="AH83" s="2631"/>
      <c r="AI83" s="2631"/>
      <c r="AJ83" s="2631"/>
      <c r="AK83" s="2631"/>
      <c r="AL83" s="2631"/>
      <c r="AM83" s="2631"/>
      <c r="AN83" s="2631"/>
      <c r="AO83" s="2631"/>
      <c r="AP83" s="2631"/>
      <c r="AQ83" s="2631"/>
      <c r="AR83" s="2631"/>
      <c r="AS83" s="2631"/>
      <c r="AT83" s="2631"/>
      <c r="AU83" s="2631"/>
      <c r="AV83" s="2631"/>
      <c r="AW83" s="2631"/>
      <c r="AX83" s="2631"/>
      <c r="AY83" s="2631"/>
      <c r="AZ83" s="2631"/>
      <c r="BA83" s="2631"/>
      <c r="BB83" s="2631"/>
      <c r="BC83" s="2631"/>
      <c r="BD83" s="2631"/>
      <c r="BE83" s="2631"/>
      <c r="BF83" s="2631"/>
      <c r="BG83" s="2631"/>
      <c r="BH83" s="2631"/>
      <c r="BI83" s="2631"/>
      <c r="BJ83" s="2631"/>
      <c r="BK83" s="2631"/>
      <c r="BL83" s="2631"/>
      <c r="BM83" s="2631"/>
      <c r="BN83" s="2631"/>
      <c r="BO83" s="2631"/>
      <c r="BP83" s="2631"/>
      <c r="BQ83" s="2631"/>
      <c r="BR83" s="2631"/>
      <c r="BS83" s="2631"/>
      <c r="BT83" s="2631"/>
      <c r="BU83" s="2631"/>
      <c r="BV83" s="2631"/>
      <c r="BW83" s="2631"/>
      <c r="BX83" s="2631"/>
    </row>
    <row r="84" spans="1:78" ht="13.15" customHeight="1" thickTop="1"/>
    <row r="85" spans="1:78" ht="13.15" customHeight="1">
      <c r="A85" s="435"/>
      <c r="C85" s="219"/>
    </row>
    <row r="86" spans="1:78" ht="13.15" customHeight="1">
      <c r="D86" s="219"/>
      <c r="AB86" s="2663"/>
      <c r="AC86" s="2663"/>
      <c r="AD86" s="2663"/>
      <c r="AE86" s="2663"/>
      <c r="AF86" s="2663"/>
    </row>
    <row r="87" spans="1:78" ht="13.15" customHeight="1" thickBot="1">
      <c r="D87" s="219"/>
      <c r="AB87" s="2662"/>
      <c r="AC87" s="2662"/>
      <c r="AD87" s="2662"/>
      <c r="AE87" s="2662"/>
      <c r="AF87" s="266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9" sqref="B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924</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16</v>
      </c>
      <c r="C4" s="1122" t="s">
        <v>386</v>
      </c>
      <c r="D4" s="459">
        <f>Application!O718</f>
        <v>466</v>
      </c>
      <c r="E4" s="460"/>
      <c r="F4" s="1123">
        <v>1207</v>
      </c>
      <c r="G4" s="459">
        <f>F4*B4</f>
        <v>19312</v>
      </c>
      <c r="H4" s="460"/>
      <c r="I4" s="459">
        <f t="shared" ref="I4:I27" si="0">IF(F4=0,"",(F4-D4))</f>
        <v>741</v>
      </c>
      <c r="J4" s="459">
        <f t="shared" ref="J4:J27" si="1">IF(F4=0,"",(I4*B4))</f>
        <v>11856</v>
      </c>
      <c r="K4" s="218"/>
      <c r="L4" s="328"/>
    </row>
    <row r="5" spans="1:12">
      <c r="A5" s="459" t="str">
        <f>Application!B719</f>
        <v>2 Bedrooms</v>
      </c>
      <c r="B5" s="1121">
        <f>Application!G719</f>
        <v>30</v>
      </c>
      <c r="C5" s="1122" t="s">
        <v>386</v>
      </c>
      <c r="D5" s="459">
        <f>Application!O719</f>
        <v>550</v>
      </c>
      <c r="E5" s="460"/>
      <c r="F5" s="1123">
        <v>1580</v>
      </c>
      <c r="G5" s="459">
        <f t="shared" ref="G5:G38" si="2">F5*B5</f>
        <v>47400</v>
      </c>
      <c r="H5" s="460"/>
      <c r="I5" s="459">
        <f t="shared" si="0"/>
        <v>1030</v>
      </c>
      <c r="J5" s="459">
        <f t="shared" si="1"/>
        <v>30900</v>
      </c>
      <c r="K5" s="218"/>
      <c r="L5" s="328"/>
    </row>
    <row r="6" spans="1:12">
      <c r="A6" s="459" t="str">
        <f>Application!B720</f>
        <v>3 Bedrooms</v>
      </c>
      <c r="B6" s="1121">
        <f>Application!G720</f>
        <v>4</v>
      </c>
      <c r="C6" s="1122" t="s">
        <v>386</v>
      </c>
      <c r="D6" s="459">
        <f>Application!O720</f>
        <v>627</v>
      </c>
      <c r="E6" s="460"/>
      <c r="F6" s="1123">
        <v>2171</v>
      </c>
      <c r="G6" s="459">
        <f t="shared" si="2"/>
        <v>8684</v>
      </c>
      <c r="H6" s="460"/>
      <c r="I6" s="459">
        <f t="shared" si="0"/>
        <v>1544</v>
      </c>
      <c r="J6" s="459">
        <f t="shared" si="1"/>
        <v>6176</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2 Bedrooms</v>
      </c>
      <c r="B8" s="1121">
        <f>Application!G722</f>
        <v>9</v>
      </c>
      <c r="C8" s="1122" t="s">
        <v>386</v>
      </c>
      <c r="D8" s="459">
        <f>Application!O722</f>
        <v>969</v>
      </c>
      <c r="E8" s="460"/>
      <c r="F8" s="1123">
        <v>1580</v>
      </c>
      <c r="G8" s="459">
        <f t="shared" si="2"/>
        <v>14220</v>
      </c>
      <c r="H8" s="460"/>
      <c r="I8" s="459">
        <f t="shared" si="0"/>
        <v>611</v>
      </c>
      <c r="J8" s="459">
        <f t="shared" si="1"/>
        <v>5499</v>
      </c>
      <c r="K8" s="218"/>
      <c r="L8" s="328"/>
    </row>
    <row r="9" spans="1:12">
      <c r="A9" s="459" t="str">
        <f>Application!B723</f>
        <v>3 Bedrooms</v>
      </c>
      <c r="B9" s="1121">
        <f>Application!G723</f>
        <v>12</v>
      </c>
      <c r="C9" s="1122" t="s">
        <v>386</v>
      </c>
      <c r="D9" s="459">
        <f>Application!O723</f>
        <v>1111</v>
      </c>
      <c r="E9" s="460"/>
      <c r="F9" s="1123">
        <v>2171</v>
      </c>
      <c r="G9" s="459">
        <f t="shared" si="2"/>
        <v>26052</v>
      </c>
      <c r="H9" s="460"/>
      <c r="I9" s="459">
        <f t="shared" si="0"/>
        <v>1060</v>
      </c>
      <c r="J9" s="459">
        <f t="shared" si="1"/>
        <v>12720</v>
      </c>
      <c r="K9" s="218"/>
      <c r="L9" s="328"/>
    </row>
    <row r="10" spans="1:12">
      <c r="A10" s="459" t="str">
        <f>Application!B724</f>
        <v>3 Bedrooms</v>
      </c>
      <c r="B10" s="1121">
        <f>Application!G724</f>
        <v>12</v>
      </c>
      <c r="C10" s="1122"/>
      <c r="D10" s="459">
        <f>Application!O724</f>
        <v>1111</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61849</v>
      </c>
      <c r="E40" s="460"/>
      <c r="F40" s="460"/>
      <c r="G40" s="463">
        <f>SUM(G4:G38)*12</f>
        <v>1388016</v>
      </c>
      <c r="H40" s="464"/>
      <c r="I40" s="462"/>
      <c r="J40" s="463">
        <f>SUM(J4:J38)*12</f>
        <v>805812</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54" sqref="E54"/>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742188</v>
      </c>
      <c r="G4" s="235">
        <f>E4*$C$4</f>
        <v>760742.7</v>
      </c>
      <c r="I4" s="235">
        <f>G4*$C$4</f>
        <v>779761.26749999984</v>
      </c>
      <c r="K4" s="235">
        <f>I4*$C$4</f>
        <v>799255.2991874998</v>
      </c>
      <c r="M4" s="235">
        <f>K4*$C$4</f>
        <v>819236.68166718725</v>
      </c>
      <c r="O4" s="235">
        <f>M4*$C$4</f>
        <v>839717.59870886686</v>
      </c>
      <c r="Q4" s="235">
        <f>O4*$C$4</f>
        <v>860710.53867658845</v>
      </c>
      <c r="S4" s="235">
        <f>Q4*$C$4</f>
        <v>882228.3021435031</v>
      </c>
      <c r="U4" s="235">
        <f>S4*$C$4</f>
        <v>904284.0096970906</v>
      </c>
      <c r="W4" s="235">
        <f>U4*$C$4</f>
        <v>926891.1099395178</v>
      </c>
      <c r="Y4" s="235">
        <f>W4*$C$4</f>
        <v>950063.38768800569</v>
      </c>
      <c r="AA4" s="235">
        <f>Y4*$C$4</f>
        <v>973814.97238020576</v>
      </c>
      <c r="AC4" s="235">
        <f>AA4*$C$4</f>
        <v>998160.34668971086</v>
      </c>
      <c r="AE4" s="235">
        <f>AC4*$C$4</f>
        <v>1023114.3553569536</v>
      </c>
      <c r="AG4" s="235">
        <f>AE4*$C$4</f>
        <v>1048692.2142408774</v>
      </c>
    </row>
    <row r="5" spans="1:34" s="225" customFormat="1" ht="14.25">
      <c r="B5" s="225" t="s">
        <v>849</v>
      </c>
      <c r="C5" s="254">
        <f>IF(Application!$D$211="Special Needs",0.1,0.05)</f>
        <v>0.05</v>
      </c>
      <c r="E5" s="237">
        <f>-E4*$C$5</f>
        <v>-37109.4</v>
      </c>
      <c r="F5" s="237"/>
      <c r="G5" s="237">
        <f>-G4*$C$5</f>
        <v>-38037.135000000002</v>
      </c>
      <c r="H5" s="237"/>
      <c r="I5" s="237">
        <f>-I4*$C$5</f>
        <v>-38988.063374999991</v>
      </c>
      <c r="J5" s="237"/>
      <c r="K5" s="237">
        <f>-K4*$C$5</f>
        <v>-39962.764959374996</v>
      </c>
      <c r="L5" s="237"/>
      <c r="M5" s="237">
        <f>-M4*$C$5</f>
        <v>-40961.834083359368</v>
      </c>
      <c r="N5" s="237"/>
      <c r="O5" s="237">
        <f>-O4*$C$5</f>
        <v>-41985.879935443343</v>
      </c>
      <c r="P5" s="237"/>
      <c r="Q5" s="237">
        <f>-Q4*$C$5</f>
        <v>-43035.526933829424</v>
      </c>
      <c r="R5" s="237"/>
      <c r="S5" s="237">
        <f>-S4*$C$5</f>
        <v>-44111.415107175155</v>
      </c>
      <c r="T5" s="237"/>
      <c r="U5" s="237">
        <f>-U4*$C$5</f>
        <v>-45214.200484854533</v>
      </c>
      <c r="V5" s="237"/>
      <c r="W5" s="237">
        <f>-W4*$C$5</f>
        <v>-46344.555496975896</v>
      </c>
      <c r="X5" s="237"/>
      <c r="Y5" s="237">
        <f>-Y4*$C$5</f>
        <v>-47503.169384400288</v>
      </c>
      <c r="Z5" s="237"/>
      <c r="AA5" s="237">
        <f>-AA4*$C$5</f>
        <v>-48690.748619010294</v>
      </c>
      <c r="AB5" s="237"/>
      <c r="AC5" s="237">
        <f>-AC4*$C$5</f>
        <v>-49908.017334485543</v>
      </c>
      <c r="AD5" s="237"/>
      <c r="AE5" s="237">
        <f>-AE4*$C$5</f>
        <v>-51155.71776784768</v>
      </c>
      <c r="AF5" s="237"/>
      <c r="AG5" s="237">
        <f>-AG4*$C$5</f>
        <v>-52434.610712043876</v>
      </c>
    </row>
    <row r="6" spans="1:34" s="225" customFormat="1" ht="14.25">
      <c r="A6" s="225" t="s">
        <v>847</v>
      </c>
      <c r="C6" s="253">
        <v>1.0249999999999999</v>
      </c>
      <c r="E6" s="238">
        <f>Application!Z809</f>
        <v>805812</v>
      </c>
      <c r="F6" s="238"/>
      <c r="G6" s="238">
        <f>E6*$C$6</f>
        <v>825957.29999999993</v>
      </c>
      <c r="H6" s="238"/>
      <c r="I6" s="238">
        <f>G6*$C$6</f>
        <v>846606.23249999981</v>
      </c>
      <c r="J6" s="238"/>
      <c r="K6" s="238">
        <f>I6*$C$6</f>
        <v>867771.38831249974</v>
      </c>
      <c r="L6" s="238"/>
      <c r="M6" s="238">
        <f>K6*$C$6</f>
        <v>889465.6730203121</v>
      </c>
      <c r="N6" s="238"/>
      <c r="O6" s="238">
        <f>M6*$C$6</f>
        <v>911702.31484581984</v>
      </c>
      <c r="P6" s="238"/>
      <c r="Q6" s="238">
        <f>O6*$C$6</f>
        <v>934494.87271696527</v>
      </c>
      <c r="R6" s="238"/>
      <c r="S6" s="238">
        <f>Q6*$C$6</f>
        <v>957857.24453488935</v>
      </c>
      <c r="T6" s="238"/>
      <c r="U6" s="238">
        <f>S6*$C$6</f>
        <v>981803.67564826144</v>
      </c>
      <c r="V6" s="238"/>
      <c r="W6" s="238">
        <f>U6*$C$6</f>
        <v>1006348.7675394679</v>
      </c>
      <c r="X6" s="238"/>
      <c r="Y6" s="238">
        <f>W6*$C$6</f>
        <v>1031507.4867279545</v>
      </c>
      <c r="Z6" s="238"/>
      <c r="AA6" s="238">
        <f>Y6*$C$6</f>
        <v>1057295.1738961532</v>
      </c>
      <c r="AB6" s="238"/>
      <c r="AC6" s="238">
        <f>AA6*$C$6</f>
        <v>1083727.553243557</v>
      </c>
      <c r="AD6" s="238"/>
      <c r="AE6" s="238">
        <f>AC6*$C$6</f>
        <v>1110820.7420746458</v>
      </c>
      <c r="AF6" s="238"/>
      <c r="AG6" s="238">
        <f>AE6*$C$6</f>
        <v>1138591.2606265119</v>
      </c>
    </row>
    <row r="7" spans="1:34" s="225" customFormat="1" ht="14.25">
      <c r="B7" s="225" t="s">
        <v>849</v>
      </c>
      <c r="C7" s="254">
        <v>0.1</v>
      </c>
      <c r="E7" s="237">
        <f>-E6*$C$7</f>
        <v>-80581.200000000012</v>
      </c>
      <c r="F7" s="237"/>
      <c r="G7" s="237">
        <f>-G6*$C$7</f>
        <v>-82595.73</v>
      </c>
      <c r="H7" s="237"/>
      <c r="I7" s="237">
        <f>-I6*$C$7</f>
        <v>-84660.62324999999</v>
      </c>
      <c r="J7" s="237"/>
      <c r="K7" s="237">
        <f>-K6*$C$7</f>
        <v>-86777.138831249977</v>
      </c>
      <c r="L7" s="237"/>
      <c r="M7" s="237">
        <f>-M6*$C$7</f>
        <v>-88946.56730203121</v>
      </c>
      <c r="N7" s="237"/>
      <c r="O7" s="237">
        <f>-O6*$C$7</f>
        <v>-91170.231484581993</v>
      </c>
      <c r="P7" s="237"/>
      <c r="Q7" s="237">
        <f>-Q6*$C$7</f>
        <v>-93449.487271696533</v>
      </c>
      <c r="R7" s="237"/>
      <c r="S7" s="237">
        <f>-S6*$C$7</f>
        <v>-95785.724453488947</v>
      </c>
      <c r="T7" s="237"/>
      <c r="U7" s="237">
        <f>-U6*$C$7</f>
        <v>-98180.367564826156</v>
      </c>
      <c r="V7" s="237"/>
      <c r="W7" s="237">
        <f>-W6*$C$7</f>
        <v>-100634.8767539468</v>
      </c>
      <c r="X7" s="237"/>
      <c r="Y7" s="237">
        <f>-Y6*$C$7</f>
        <v>-103150.74867279545</v>
      </c>
      <c r="Z7" s="237"/>
      <c r="AA7" s="237">
        <f>-AA6*$C$7</f>
        <v>-105729.51738961533</v>
      </c>
      <c r="AB7" s="237"/>
      <c r="AC7" s="237">
        <f>-AC6*$C$7</f>
        <v>-108372.7553243557</v>
      </c>
      <c r="AD7" s="237"/>
      <c r="AE7" s="237">
        <f>-AE6*$C$7</f>
        <v>-111082.07420746458</v>
      </c>
      <c r="AF7" s="237"/>
      <c r="AG7" s="237">
        <f>-AG6*$C$7</f>
        <v>-113859.12606265119</v>
      </c>
    </row>
    <row r="8" spans="1:34" s="225" customFormat="1" ht="14.25">
      <c r="A8" s="225" t="s">
        <v>289</v>
      </c>
      <c r="C8" s="253">
        <v>1.0249999999999999</v>
      </c>
      <c r="E8" s="238">
        <f>Application!Z817</f>
        <v>5016</v>
      </c>
      <c r="F8" s="238"/>
      <c r="G8" s="238">
        <f>E8*$C$8</f>
        <v>5141.3999999999996</v>
      </c>
      <c r="H8" s="238"/>
      <c r="I8" s="238">
        <f>G8*$C$8</f>
        <v>5269.9349999999995</v>
      </c>
      <c r="J8" s="238"/>
      <c r="K8" s="238">
        <f>I8*$C$8</f>
        <v>5401.6833749999987</v>
      </c>
      <c r="L8" s="238"/>
      <c r="M8" s="238">
        <f>K8*$C$8</f>
        <v>5536.7254593749985</v>
      </c>
      <c r="N8" s="238"/>
      <c r="O8" s="238">
        <f>M8*$C$8</f>
        <v>5675.1435958593729</v>
      </c>
      <c r="P8" s="238"/>
      <c r="Q8" s="238">
        <f>O8*$C$8</f>
        <v>5817.0221857558563</v>
      </c>
      <c r="R8" s="238"/>
      <c r="S8" s="238">
        <f>Q8*$C$8</f>
        <v>5962.4477403997525</v>
      </c>
      <c r="T8" s="238"/>
      <c r="U8" s="238">
        <f>S8*$C$8</f>
        <v>6111.5089339097458</v>
      </c>
      <c r="V8" s="238"/>
      <c r="W8" s="238">
        <f>U8*$C$8</f>
        <v>6264.2966572574887</v>
      </c>
      <c r="X8" s="238"/>
      <c r="Y8" s="238">
        <f>W8*$C$8</f>
        <v>6420.9040736889256</v>
      </c>
      <c r="Z8" s="238"/>
      <c r="AA8" s="238">
        <f>Y8*$C$8</f>
        <v>6581.4266755311482</v>
      </c>
      <c r="AB8" s="238"/>
      <c r="AC8" s="238">
        <f>AA8*$C$8</f>
        <v>6745.962342419426</v>
      </c>
      <c r="AD8" s="238"/>
      <c r="AE8" s="238">
        <f>AC8*$C$8</f>
        <v>6914.6114009799112</v>
      </c>
      <c r="AF8" s="238"/>
      <c r="AG8" s="238">
        <f>AE8*$C$8</f>
        <v>7087.4766860044083</v>
      </c>
    </row>
    <row r="9" spans="1:34" s="225" customFormat="1" ht="14.25">
      <c r="B9" s="225" t="s">
        <v>849</v>
      </c>
      <c r="C9" s="254">
        <f>IF(Application!$D$211="Special Needs",0.1,0.05)</f>
        <v>0.05</v>
      </c>
      <c r="E9" s="237">
        <f>-E8*$C$9</f>
        <v>-250.8</v>
      </c>
      <c r="F9" s="237"/>
      <c r="G9" s="237">
        <f>-G8*$C$9</f>
        <v>-257.07</v>
      </c>
      <c r="H9" s="237"/>
      <c r="I9" s="237">
        <f>-I8*$C$9</f>
        <v>-263.49674999999996</v>
      </c>
      <c r="J9" s="237"/>
      <c r="K9" s="237">
        <f>-K8*$C$9</f>
        <v>-270.08416874999995</v>
      </c>
      <c r="L9" s="237"/>
      <c r="M9" s="237">
        <f>-M8*$C$9</f>
        <v>-276.83627296874994</v>
      </c>
      <c r="N9" s="237"/>
      <c r="O9" s="237">
        <f>-O8*$C$9</f>
        <v>-283.75717979296866</v>
      </c>
      <c r="P9" s="237"/>
      <c r="Q9" s="237">
        <f>-Q8*$C$9</f>
        <v>-290.85110928779284</v>
      </c>
      <c r="R9" s="237"/>
      <c r="S9" s="237">
        <f>-S8*$C$9</f>
        <v>-298.12238701998763</v>
      </c>
      <c r="T9" s="237"/>
      <c r="U9" s="237">
        <f>-U8*$C$9</f>
        <v>-305.5754466954873</v>
      </c>
      <c r="V9" s="237"/>
      <c r="W9" s="237">
        <f>-W8*$C$9</f>
        <v>-313.21483286287446</v>
      </c>
      <c r="X9" s="237"/>
      <c r="Y9" s="237">
        <f>-Y8*$C$9</f>
        <v>-321.04520368444628</v>
      </c>
      <c r="Z9" s="237"/>
      <c r="AA9" s="237">
        <f>-AA8*$C$9</f>
        <v>-329.07133377655742</v>
      </c>
      <c r="AB9" s="237"/>
      <c r="AC9" s="237">
        <f>-AC8*$C$9</f>
        <v>-337.29811712097131</v>
      </c>
      <c r="AD9" s="237"/>
      <c r="AE9" s="237">
        <f>-AE8*$C$9</f>
        <v>-345.73057004899556</v>
      </c>
      <c r="AF9" s="237"/>
      <c r="AG9" s="237">
        <f>-AG8*$C$9</f>
        <v>-354.37383430022044</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1435074.6</v>
      </c>
      <c r="G11" s="239">
        <f>SUM(G4:G10)</f>
        <v>1470951.4649999996</v>
      </c>
      <c r="I11" s="239">
        <f>SUM(I4:I10)</f>
        <v>1507725.2516249998</v>
      </c>
      <c r="K11" s="239">
        <f>SUM(K4:K10)</f>
        <v>1545418.3829156247</v>
      </c>
      <c r="M11" s="239">
        <f>SUM(M4:M10)</f>
        <v>1584053.8424885152</v>
      </c>
      <c r="O11" s="239">
        <f>SUM(O4:O10)</f>
        <v>1623655.1885507277</v>
      </c>
      <c r="Q11" s="239">
        <f>SUM(Q4:Q10)</f>
        <v>1664246.5682644958</v>
      </c>
      <c r="S11" s="239">
        <f>SUM(S4:S10)</f>
        <v>1705852.7324711084</v>
      </c>
      <c r="U11" s="239">
        <f>SUM(U4:U10)</f>
        <v>1748499.0507828854</v>
      </c>
      <c r="W11" s="239">
        <f>SUM(W4:W10)</f>
        <v>1792211.5270524577</v>
      </c>
      <c r="Y11" s="239">
        <f>SUM(Y4:Y10)</f>
        <v>1837016.8152287689</v>
      </c>
      <c r="AA11" s="239">
        <f>SUM(AA4:AA10)</f>
        <v>1882942.2356094881</v>
      </c>
      <c r="AC11" s="239">
        <f>SUM(AC4:AC10)</f>
        <v>1930015.7914997251</v>
      </c>
      <c r="AE11" s="239">
        <f>SUM(AE4:AE10)</f>
        <v>1978266.186287218</v>
      </c>
      <c r="AG11" s="239">
        <f>SUM(AG4:AG10)</f>
        <v>2027722.8409443984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101579</v>
      </c>
      <c r="G15" s="235">
        <f>E15*$C$14</f>
        <v>105134.26499999998</v>
      </c>
      <c r="I15" s="235">
        <f>G15*$C$14</f>
        <v>108813.96427499998</v>
      </c>
      <c r="K15" s="235">
        <f>I15*$C$14</f>
        <v>112622.45302462496</v>
      </c>
      <c r="M15" s="235">
        <f>K15*$C$14</f>
        <v>116564.23888048682</v>
      </c>
      <c r="O15" s="235">
        <f>M15*$C$14</f>
        <v>120643.98724130385</v>
      </c>
      <c r="Q15" s="235">
        <f>O15*$C$14</f>
        <v>124866.52679474947</v>
      </c>
      <c r="S15" s="235">
        <f>Q15*$C$14</f>
        <v>129236.85523256569</v>
      </c>
      <c r="U15" s="235">
        <f>S15*$C$14</f>
        <v>133760.14516570547</v>
      </c>
      <c r="W15" s="235">
        <f>U15*$C$14</f>
        <v>138441.75024650517</v>
      </c>
      <c r="Y15" s="235">
        <f>W15*$C$14</f>
        <v>143287.21150513284</v>
      </c>
      <c r="AA15" s="235">
        <f>Y15*$C$14</f>
        <v>148302.26390781248</v>
      </c>
      <c r="AC15" s="235">
        <f>AA15*$C$14</f>
        <v>153492.8431445859</v>
      </c>
      <c r="AE15" s="235">
        <f>AC15*$C$14</f>
        <v>158865.0926546464</v>
      </c>
      <c r="AG15" s="235">
        <f>AE15*$C$14</f>
        <v>164425.37089755901</v>
      </c>
    </row>
    <row r="16" spans="1:34" s="225" customFormat="1" ht="14.25">
      <c r="A16" s="225" t="s">
        <v>345</v>
      </c>
      <c r="C16" s="249"/>
      <c r="E16" s="238">
        <f>Application!W849</f>
        <v>60480</v>
      </c>
      <c r="F16" s="238"/>
      <c r="G16" s="238">
        <f t="shared" ref="G16:AG21" si="0">E16*$C$14</f>
        <v>62596.799999999996</v>
      </c>
      <c r="H16" s="238"/>
      <c r="I16" s="238">
        <f t="shared" si="0"/>
        <v>64787.687999999987</v>
      </c>
      <c r="J16" s="238"/>
      <c r="K16" s="238">
        <f t="shared" si="0"/>
        <v>67055.257079999981</v>
      </c>
      <c r="L16" s="238"/>
      <c r="M16" s="238">
        <f t="shared" si="0"/>
        <v>69402.191077799973</v>
      </c>
      <c r="N16" s="238"/>
      <c r="O16" s="238">
        <f t="shared" si="0"/>
        <v>71831.267765522964</v>
      </c>
      <c r="P16" s="238"/>
      <c r="Q16" s="238">
        <f t="shared" si="0"/>
        <v>74345.36213731626</v>
      </c>
      <c r="R16" s="238"/>
      <c r="S16" s="238">
        <f t="shared" si="0"/>
        <v>76947.44981212233</v>
      </c>
      <c r="T16" s="238"/>
      <c r="U16" s="238">
        <f t="shared" si="0"/>
        <v>79640.610555546606</v>
      </c>
      <c r="V16" s="238"/>
      <c r="W16" s="238">
        <f t="shared" si="0"/>
        <v>82428.031924990733</v>
      </c>
      <c r="X16" s="238"/>
      <c r="Y16" s="238">
        <f t="shared" si="0"/>
        <v>85313.013042365405</v>
      </c>
      <c r="Z16" s="238"/>
      <c r="AA16" s="238">
        <f t="shared" si="0"/>
        <v>88298.968498848189</v>
      </c>
      <c r="AB16" s="238"/>
      <c r="AC16" s="238">
        <f t="shared" si="0"/>
        <v>91389.432396307864</v>
      </c>
      <c r="AD16" s="238"/>
      <c r="AE16" s="238">
        <f t="shared" si="0"/>
        <v>94588.062530178635</v>
      </c>
      <c r="AF16" s="238"/>
      <c r="AG16" s="238">
        <f t="shared" si="0"/>
        <v>97898.644718734882</v>
      </c>
    </row>
    <row r="17" spans="1:33" s="225" customFormat="1" ht="14.25">
      <c r="A17" s="225" t="s">
        <v>569</v>
      </c>
      <c r="C17" s="249"/>
      <c r="E17" s="238">
        <f>Application!W855</f>
        <v>140922</v>
      </c>
      <c r="F17" s="238"/>
      <c r="G17" s="238">
        <f t="shared" si="0"/>
        <v>145854.26999999999</v>
      </c>
      <c r="H17" s="238"/>
      <c r="I17" s="238">
        <f t="shared" si="0"/>
        <v>150959.16944999999</v>
      </c>
      <c r="J17" s="238"/>
      <c r="K17" s="238">
        <f t="shared" si="0"/>
        <v>156242.74038074998</v>
      </c>
      <c r="L17" s="238"/>
      <c r="M17" s="238">
        <f t="shared" si="0"/>
        <v>161711.23629407623</v>
      </c>
      <c r="N17" s="238"/>
      <c r="O17" s="238">
        <f t="shared" si="0"/>
        <v>167371.12956436889</v>
      </c>
      <c r="P17" s="238"/>
      <c r="Q17" s="238">
        <f t="shared" si="0"/>
        <v>173229.1190991218</v>
      </c>
      <c r="R17" s="238"/>
      <c r="S17" s="238">
        <f t="shared" si="0"/>
        <v>179292.13826759104</v>
      </c>
      <c r="T17" s="238"/>
      <c r="U17" s="238">
        <f t="shared" si="0"/>
        <v>185567.36310695671</v>
      </c>
      <c r="V17" s="238"/>
      <c r="W17" s="238">
        <f t="shared" si="0"/>
        <v>192062.22081570019</v>
      </c>
      <c r="X17" s="238"/>
      <c r="Y17" s="238">
        <f t="shared" si="0"/>
        <v>198784.39854424968</v>
      </c>
      <c r="Z17" s="238"/>
      <c r="AA17" s="238">
        <f t="shared" si="0"/>
        <v>205741.85249329841</v>
      </c>
      <c r="AB17" s="238"/>
      <c r="AC17" s="238">
        <f t="shared" si="0"/>
        <v>212942.81733056385</v>
      </c>
      <c r="AD17" s="238"/>
      <c r="AE17" s="238">
        <f t="shared" si="0"/>
        <v>220395.81593713356</v>
      </c>
      <c r="AF17" s="238"/>
      <c r="AG17" s="238">
        <f t="shared" si="0"/>
        <v>228109.66949493322</v>
      </c>
    </row>
    <row r="18" spans="1:33" s="225" customFormat="1" ht="14.25">
      <c r="A18" s="225" t="s">
        <v>853</v>
      </c>
      <c r="C18" s="249"/>
      <c r="E18" s="238">
        <f>Application!W862</f>
        <v>200000</v>
      </c>
      <c r="F18" s="238"/>
      <c r="G18" s="238">
        <f t="shared" si="0"/>
        <v>206999.99999999997</v>
      </c>
      <c r="H18" s="238"/>
      <c r="I18" s="238">
        <f t="shared" si="0"/>
        <v>214244.99999999994</v>
      </c>
      <c r="J18" s="238"/>
      <c r="K18" s="238">
        <f t="shared" si="0"/>
        <v>221743.57499999992</v>
      </c>
      <c r="L18" s="238"/>
      <c r="M18" s="238">
        <f t="shared" si="0"/>
        <v>229504.60012499991</v>
      </c>
      <c r="N18" s="238"/>
      <c r="O18" s="238">
        <f t="shared" si="0"/>
        <v>237537.26112937488</v>
      </c>
      <c r="P18" s="238"/>
      <c r="Q18" s="238">
        <f t="shared" si="0"/>
        <v>245851.06526890298</v>
      </c>
      <c r="R18" s="238"/>
      <c r="S18" s="238">
        <f t="shared" si="0"/>
        <v>254455.85255331456</v>
      </c>
      <c r="T18" s="238"/>
      <c r="U18" s="238">
        <f t="shared" si="0"/>
        <v>263361.80739268055</v>
      </c>
      <c r="V18" s="238"/>
      <c r="W18" s="238">
        <f t="shared" si="0"/>
        <v>272579.47065142437</v>
      </c>
      <c r="X18" s="238"/>
      <c r="Y18" s="238">
        <f t="shared" si="0"/>
        <v>282119.75212422421</v>
      </c>
      <c r="Z18" s="238"/>
      <c r="AA18" s="238">
        <f t="shared" si="0"/>
        <v>291993.94344857201</v>
      </c>
      <c r="AB18" s="238"/>
      <c r="AC18" s="238">
        <f t="shared" si="0"/>
        <v>302213.731469272</v>
      </c>
      <c r="AD18" s="238"/>
      <c r="AE18" s="238">
        <f t="shared" si="0"/>
        <v>312791.21207069646</v>
      </c>
      <c r="AF18" s="238"/>
      <c r="AG18" s="238">
        <f t="shared" si="0"/>
        <v>323738.90449317079</v>
      </c>
    </row>
    <row r="19" spans="1:33" s="225" customFormat="1" ht="14.25">
      <c r="A19" s="225" t="s">
        <v>155</v>
      </c>
      <c r="C19" s="249"/>
      <c r="E19" s="238">
        <f>Application!W863</f>
        <v>120000</v>
      </c>
      <c r="F19" s="238"/>
      <c r="G19" s="238">
        <f t="shared" si="0"/>
        <v>124199.99999999999</v>
      </c>
      <c r="H19" s="238"/>
      <c r="I19" s="238">
        <f t="shared" si="0"/>
        <v>128546.99999999997</v>
      </c>
      <c r="J19" s="238"/>
      <c r="K19" s="238">
        <f t="shared" si="0"/>
        <v>133046.14499999996</v>
      </c>
      <c r="L19" s="238"/>
      <c r="M19" s="238">
        <f t="shared" si="0"/>
        <v>137702.76007499994</v>
      </c>
      <c r="N19" s="238"/>
      <c r="O19" s="238">
        <f t="shared" si="0"/>
        <v>142522.35667762492</v>
      </c>
      <c r="P19" s="238"/>
      <c r="Q19" s="238">
        <f t="shared" si="0"/>
        <v>147510.63916134179</v>
      </c>
      <c r="R19" s="238"/>
      <c r="S19" s="238">
        <f t="shared" si="0"/>
        <v>152673.51153198874</v>
      </c>
      <c r="T19" s="238"/>
      <c r="U19" s="238">
        <f t="shared" si="0"/>
        <v>158017.08443560833</v>
      </c>
      <c r="V19" s="238"/>
      <c r="W19" s="238">
        <f t="shared" si="0"/>
        <v>163547.68239085461</v>
      </c>
      <c r="X19" s="238"/>
      <c r="Y19" s="238">
        <f t="shared" si="0"/>
        <v>169271.85127453451</v>
      </c>
      <c r="Z19" s="238"/>
      <c r="AA19" s="238">
        <f t="shared" si="0"/>
        <v>175196.3660691432</v>
      </c>
      <c r="AB19" s="238"/>
      <c r="AC19" s="238">
        <f t="shared" si="0"/>
        <v>181328.23888156319</v>
      </c>
      <c r="AD19" s="238"/>
      <c r="AE19" s="238">
        <f t="shared" si="0"/>
        <v>187674.7272424179</v>
      </c>
      <c r="AF19" s="238"/>
      <c r="AG19" s="238">
        <f t="shared" si="0"/>
        <v>194243.34269590251</v>
      </c>
    </row>
    <row r="20" spans="1:33" s="225" customFormat="1" ht="14.25">
      <c r="A20" s="225" t="s">
        <v>391</v>
      </c>
      <c r="C20" s="249"/>
      <c r="E20" s="238">
        <f>Application!W872</f>
        <v>128492</v>
      </c>
      <c r="F20" s="238"/>
      <c r="G20" s="238">
        <f t="shared" si="0"/>
        <v>132989.22</v>
      </c>
      <c r="H20" s="238"/>
      <c r="I20" s="238">
        <f t="shared" si="0"/>
        <v>137643.84269999998</v>
      </c>
      <c r="J20" s="238"/>
      <c r="K20" s="238">
        <f t="shared" si="0"/>
        <v>142461.37719449998</v>
      </c>
      <c r="L20" s="238"/>
      <c r="M20" s="238">
        <f t="shared" si="0"/>
        <v>147447.52539630746</v>
      </c>
      <c r="N20" s="238"/>
      <c r="O20" s="238">
        <f t="shared" si="0"/>
        <v>152608.18878517821</v>
      </c>
      <c r="P20" s="238"/>
      <c r="Q20" s="238">
        <f t="shared" si="0"/>
        <v>157949.47539265943</v>
      </c>
      <c r="R20" s="238"/>
      <c r="S20" s="238">
        <f t="shared" si="0"/>
        <v>163477.7070314025</v>
      </c>
      <c r="T20" s="238"/>
      <c r="U20" s="238">
        <f t="shared" si="0"/>
        <v>169199.42677750159</v>
      </c>
      <c r="V20" s="238"/>
      <c r="W20" s="238">
        <f t="shared" si="0"/>
        <v>175121.40671471413</v>
      </c>
      <c r="X20" s="238"/>
      <c r="Y20" s="238">
        <f t="shared" si="0"/>
        <v>181250.65594972912</v>
      </c>
      <c r="Z20" s="238"/>
      <c r="AA20" s="238">
        <f t="shared" si="0"/>
        <v>187594.42890796962</v>
      </c>
      <c r="AB20" s="238"/>
      <c r="AC20" s="238">
        <f t="shared" si="0"/>
        <v>194160.23391974854</v>
      </c>
      <c r="AD20" s="238"/>
      <c r="AE20" s="238">
        <f t="shared" si="0"/>
        <v>200955.84210693973</v>
      </c>
      <c r="AF20" s="238"/>
      <c r="AG20" s="238">
        <f t="shared" si="0"/>
        <v>207989.2965806826</v>
      </c>
    </row>
    <row r="21" spans="1:33" s="225" customFormat="1" ht="14.25">
      <c r="A21" s="242" t="s">
        <v>981</v>
      </c>
      <c r="B21" s="242"/>
      <c r="C21" s="249"/>
      <c r="E21" s="248">
        <f>Application!W879</f>
        <v>10000</v>
      </c>
      <c r="F21" s="238"/>
      <c r="G21" s="248">
        <f t="shared" si="0"/>
        <v>10350</v>
      </c>
      <c r="H21" s="238"/>
      <c r="I21" s="248">
        <f t="shared" si="0"/>
        <v>10712.25</v>
      </c>
      <c r="J21" s="238"/>
      <c r="K21" s="248">
        <f t="shared" si="0"/>
        <v>11087.178749999999</v>
      </c>
      <c r="L21" s="238"/>
      <c r="M21" s="248">
        <f t="shared" si="0"/>
        <v>11475.230006249998</v>
      </c>
      <c r="N21" s="238"/>
      <c r="O21" s="248">
        <f t="shared" si="0"/>
        <v>11876.863056468746</v>
      </c>
      <c r="P21" s="238"/>
      <c r="Q21" s="248">
        <f t="shared" si="0"/>
        <v>12292.553263445152</v>
      </c>
      <c r="R21" s="238"/>
      <c r="S21" s="248">
        <f t="shared" si="0"/>
        <v>12722.792627665731</v>
      </c>
      <c r="T21" s="238"/>
      <c r="U21" s="248">
        <f t="shared" si="0"/>
        <v>13168.09036963403</v>
      </c>
      <c r="V21" s="238"/>
      <c r="W21" s="248">
        <f t="shared" si="0"/>
        <v>13628.973532571221</v>
      </c>
      <c r="X21" s="238"/>
      <c r="Y21" s="248">
        <f t="shared" si="0"/>
        <v>14105.987606211213</v>
      </c>
      <c r="Z21" s="238"/>
      <c r="AA21" s="248">
        <f t="shared" si="0"/>
        <v>14599.697172428603</v>
      </c>
      <c r="AB21" s="238"/>
      <c r="AC21" s="248">
        <f t="shared" si="0"/>
        <v>15110.686573463603</v>
      </c>
      <c r="AD21" s="238"/>
      <c r="AE21" s="248">
        <f t="shared" si="0"/>
        <v>15639.560603534828</v>
      </c>
      <c r="AF21" s="238"/>
      <c r="AG21" s="248">
        <f t="shared" si="0"/>
        <v>16186.945224658546</v>
      </c>
    </row>
    <row r="22" spans="1:33" s="239" customFormat="1" ht="15">
      <c r="A22" s="239" t="s">
        <v>854</v>
      </c>
      <c r="C22" s="249"/>
      <c r="E22" s="239">
        <f>SUM(E15:E21)</f>
        <v>761473</v>
      </c>
      <c r="G22" s="239">
        <f>SUM(G15:G21)</f>
        <v>788124.55499999993</v>
      </c>
      <c r="I22" s="239">
        <f>SUM(I15:I21)</f>
        <v>815708.91442499985</v>
      </c>
      <c r="K22" s="239">
        <f>SUM(K15:K21)</f>
        <v>844258.72642987466</v>
      </c>
      <c r="M22" s="239">
        <f>SUM(M15:M21)</f>
        <v>873807.78185492021</v>
      </c>
      <c r="O22" s="239">
        <f>SUM(O15:O21)</f>
        <v>904391.05421984254</v>
      </c>
      <c r="Q22" s="239">
        <f>SUM(Q15:Q21)</f>
        <v>936044.74111753702</v>
      </c>
      <c r="S22" s="239">
        <f>SUM(S15:S21)</f>
        <v>968806.30705665052</v>
      </c>
      <c r="U22" s="239">
        <f>SUM(U15:U21)</f>
        <v>1002714.5278036332</v>
      </c>
      <c r="W22" s="239">
        <f>SUM(W15:W21)</f>
        <v>1037809.5362767604</v>
      </c>
      <c r="Y22" s="239">
        <f>SUM(Y15:Y21)</f>
        <v>1074132.8700464468</v>
      </c>
      <c r="AA22" s="239">
        <f>SUM(AA15:AA21)</f>
        <v>1111727.5204980725</v>
      </c>
      <c r="AC22" s="239">
        <f>SUM(AC15:AC21)</f>
        <v>1150637.9837155049</v>
      </c>
      <c r="AE22" s="239">
        <f>SUM(AE15:AE21)</f>
        <v>1190910.3131455474</v>
      </c>
      <c r="AG22" s="239">
        <f>SUM(AG15:AG21)</f>
        <v>1232592.1741056414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11053</v>
      </c>
      <c r="F27" s="238"/>
      <c r="G27" s="238">
        <f>E27*$C$27</f>
        <v>11439.855</v>
      </c>
      <c r="H27" s="238"/>
      <c r="I27" s="238">
        <f>G27*$C$27</f>
        <v>11840.249924999998</v>
      </c>
      <c r="J27" s="238"/>
      <c r="K27" s="238">
        <f>I27*$C$27</f>
        <v>12254.658672374997</v>
      </c>
      <c r="L27" s="238"/>
      <c r="M27" s="238">
        <f>K27*$C$27</f>
        <v>12683.571725908121</v>
      </c>
      <c r="N27" s="238"/>
      <c r="O27" s="238">
        <f>M27*$C$27</f>
        <v>13127.496736314904</v>
      </c>
      <c r="P27" s="238"/>
      <c r="Q27" s="238">
        <f>O27*$C$27</f>
        <v>13586.959122085926</v>
      </c>
      <c r="R27" s="238"/>
      <c r="S27" s="238">
        <f>Q27*$C$27</f>
        <v>14062.502691358932</v>
      </c>
      <c r="T27" s="238"/>
      <c r="U27" s="238">
        <f>S27*$C$27</f>
        <v>14554.690285556493</v>
      </c>
      <c r="V27" s="238"/>
      <c r="W27" s="238">
        <f>U27*$C$27</f>
        <v>15064.104445550969</v>
      </c>
      <c r="X27" s="238"/>
      <c r="Y27" s="238">
        <f>W27*$C$27</f>
        <v>15591.348101145251</v>
      </c>
      <c r="Z27" s="238"/>
      <c r="AA27" s="238">
        <f>Y27*$C$27</f>
        <v>16137.045284685333</v>
      </c>
      <c r="AB27" s="238"/>
      <c r="AC27" s="238">
        <f>AA27*$C$27</f>
        <v>16701.841869649317</v>
      </c>
      <c r="AD27" s="238"/>
      <c r="AE27" s="238">
        <f>AC27*$C$27</f>
        <v>17286.406335087042</v>
      </c>
      <c r="AF27" s="238"/>
      <c r="AG27" s="238">
        <f>AE27*$C$27</f>
        <v>17891.430556815088</v>
      </c>
    </row>
    <row r="28" spans="1:33" s="225" customFormat="1" ht="14.25">
      <c r="A28" s="225" t="s">
        <v>857</v>
      </c>
      <c r="C28" s="253"/>
      <c r="E28" s="238">
        <f>Application!AC889</f>
        <v>42000</v>
      </c>
      <c r="F28" s="238"/>
      <c r="G28" s="238">
        <f>$E$28</f>
        <v>42000</v>
      </c>
      <c r="H28" s="238"/>
      <c r="I28" s="238">
        <f>$E$28</f>
        <v>42000</v>
      </c>
      <c r="J28" s="238"/>
      <c r="K28" s="238">
        <f>$E$28</f>
        <v>42000</v>
      </c>
      <c r="L28" s="238"/>
      <c r="M28" s="238">
        <f>$E$28</f>
        <v>42000</v>
      </c>
      <c r="N28" s="238"/>
      <c r="O28" s="238">
        <f>$E$28</f>
        <v>42000</v>
      </c>
      <c r="P28" s="238"/>
      <c r="Q28" s="238">
        <f>$E$28</f>
        <v>42000</v>
      </c>
      <c r="R28" s="238"/>
      <c r="S28" s="238">
        <f>$E$28</f>
        <v>42000</v>
      </c>
      <c r="T28" s="238"/>
      <c r="U28" s="238">
        <f>$E$28</f>
        <v>42000</v>
      </c>
      <c r="V28" s="238"/>
      <c r="W28" s="238">
        <f>$E$28</f>
        <v>42000</v>
      </c>
      <c r="X28" s="238"/>
      <c r="Y28" s="238">
        <f>$E$28</f>
        <v>42000</v>
      </c>
      <c r="Z28" s="238"/>
      <c r="AA28" s="238">
        <f>$E$28</f>
        <v>42000</v>
      </c>
      <c r="AB28" s="238"/>
      <c r="AC28" s="238">
        <f>$E$28</f>
        <v>42000</v>
      </c>
      <c r="AD28" s="238"/>
      <c r="AE28" s="238">
        <f>$E$28</f>
        <v>42000</v>
      </c>
      <c r="AF28" s="238"/>
      <c r="AG28" s="238">
        <f>$E$28</f>
        <v>42000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8289</v>
      </c>
      <c r="F30" s="238"/>
      <c r="G30" s="238">
        <f>E30*$C$30</f>
        <v>8454.7800000000007</v>
      </c>
      <c r="H30" s="238"/>
      <c r="I30" s="238">
        <f>G30*$C$30</f>
        <v>8623.8756000000012</v>
      </c>
      <c r="J30" s="238"/>
      <c r="K30" s="238">
        <f>I30*$C$30</f>
        <v>8796.3531120000007</v>
      </c>
      <c r="L30" s="238"/>
      <c r="M30" s="238">
        <f>K30*$C$30</f>
        <v>8972.2801742400006</v>
      </c>
      <c r="N30" s="238"/>
      <c r="O30" s="238">
        <f>M30*$C$30</f>
        <v>9151.7257777248014</v>
      </c>
      <c r="P30" s="238"/>
      <c r="Q30" s="238">
        <f>O30*$C$30</f>
        <v>9334.7602932792979</v>
      </c>
      <c r="R30" s="238"/>
      <c r="S30" s="238">
        <f>Q30*$C$30</f>
        <v>9521.455499144884</v>
      </c>
      <c r="T30" s="238"/>
      <c r="U30" s="238">
        <f>S30*$C$30</f>
        <v>9711.884609127781</v>
      </c>
      <c r="V30" s="238"/>
      <c r="W30" s="238">
        <f>U30*$C$30</f>
        <v>9906.1223013103372</v>
      </c>
      <c r="X30" s="238"/>
      <c r="Y30" s="238">
        <f>W30*$C$30</f>
        <v>10104.244747336545</v>
      </c>
      <c r="Z30" s="238"/>
      <c r="AA30" s="238">
        <f>Y30*$C$30</f>
        <v>10306.329642283275</v>
      </c>
      <c r="AB30" s="238"/>
      <c r="AC30" s="238">
        <f>AA30*$C$30</f>
        <v>10512.456235128941</v>
      </c>
      <c r="AD30" s="238"/>
      <c r="AE30" s="238">
        <f>AC30*$C$30</f>
        <v>10722.70535983152</v>
      </c>
      <c r="AF30" s="238"/>
      <c r="AG30" s="238">
        <f>AE30*$C$30</f>
        <v>10937.15946702815</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Local Agency Monitoring Fee</v>
      </c>
      <c r="C32" s="340">
        <v>1.0349999999999999</v>
      </c>
      <c r="E32" s="238">
        <f>Application!AC893</f>
        <v>15000</v>
      </c>
      <c r="F32" s="238"/>
      <c r="G32" s="238">
        <f>E32*$C$32</f>
        <v>15524.999999999998</v>
      </c>
      <c r="H32" s="238"/>
      <c r="I32" s="238">
        <f>G32*$C$32</f>
        <v>16068.374999999996</v>
      </c>
      <c r="J32" s="238"/>
      <c r="K32" s="238">
        <f>I32*$C$32</f>
        <v>16630.768124999995</v>
      </c>
      <c r="L32" s="238"/>
      <c r="M32" s="238">
        <f>K32*$C$32</f>
        <v>17212.845009374993</v>
      </c>
      <c r="N32" s="238"/>
      <c r="O32" s="238">
        <f>M32*$C$32</f>
        <v>17815.294584703115</v>
      </c>
      <c r="P32" s="238"/>
      <c r="Q32" s="238">
        <f>O32*$C$32</f>
        <v>18438.829895167724</v>
      </c>
      <c r="R32" s="238"/>
      <c r="S32" s="238">
        <f>Q32*$C$32</f>
        <v>19084.188941498593</v>
      </c>
      <c r="T32" s="238"/>
      <c r="U32" s="238">
        <f>S32*$C$32</f>
        <v>19752.135554451041</v>
      </c>
      <c r="V32" s="238"/>
      <c r="W32" s="238">
        <f>U32*$C$32</f>
        <v>20443.460298856826</v>
      </c>
      <c r="X32" s="238"/>
      <c r="Y32" s="238">
        <f>W32*$C$32</f>
        <v>21158.981409316813</v>
      </c>
      <c r="Z32" s="238"/>
      <c r="AA32" s="238">
        <f>Y32*$C$32</f>
        <v>21899.5457586429</v>
      </c>
      <c r="AB32" s="238"/>
      <c r="AC32" s="238">
        <f>AA32*$C$32</f>
        <v>22666.029860195398</v>
      </c>
      <c r="AD32" s="238"/>
      <c r="AE32" s="238">
        <f>AC32*$C$32</f>
        <v>23459.340905302237</v>
      </c>
      <c r="AF32" s="238"/>
      <c r="AG32" s="238">
        <f>AE32*$C$32</f>
        <v>24280.417836987814</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837815</v>
      </c>
      <c r="G35" s="239">
        <f>SUM(G22:G33)</f>
        <v>865544.19</v>
      </c>
      <c r="I35" s="239">
        <f>SUM(I22:I33)</f>
        <v>894241.41494999989</v>
      </c>
      <c r="K35" s="239">
        <f>SUM(K22:K33)</f>
        <v>923940.50633924967</v>
      </c>
      <c r="M35" s="239">
        <f>SUM(M22:M33)</f>
        <v>954676.47876444331</v>
      </c>
      <c r="O35" s="239">
        <f>SUM(O22:O33)</f>
        <v>986485.57131858543</v>
      </c>
      <c r="Q35" s="239">
        <f>SUM(Q22:Q33)</f>
        <v>1019405.29042807</v>
      </c>
      <c r="S35" s="239">
        <f>SUM(S22:S33)</f>
        <v>1053474.4541886528</v>
      </c>
      <c r="U35" s="239">
        <f>SUM(U22:U33)</f>
        <v>1088733.2382527688</v>
      </c>
      <c r="W35" s="239">
        <f>SUM(W22:W33)</f>
        <v>1125223.2233224784</v>
      </c>
      <c r="Y35" s="239">
        <f>SUM(Y22:Y33)</f>
        <v>1162987.4443042455</v>
      </c>
      <c r="AA35" s="239">
        <f>SUM(AA22:AA33)</f>
        <v>1202070.4411836842</v>
      </c>
      <c r="AC35" s="239">
        <f>SUM(AC22:AC33)</f>
        <v>1242518.3116804785</v>
      </c>
      <c r="AE35" s="239">
        <f>SUM(AE22:AE33)</f>
        <v>1284378.7657457681</v>
      </c>
      <c r="AG35" s="239">
        <f>SUM(AG22:AG33)</f>
        <v>1327701.1819664726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597259.60000000009</v>
      </c>
      <c r="G37" s="239">
        <f>G11-G35</f>
        <v>605407.27499999967</v>
      </c>
      <c r="I37" s="239">
        <f>I11-I35</f>
        <v>613483.83667499991</v>
      </c>
      <c r="K37" s="239">
        <f>K11-K35</f>
        <v>621477.87657637498</v>
      </c>
      <c r="M37" s="239">
        <f>M11-M35</f>
        <v>629377.36372407188</v>
      </c>
      <c r="O37" s="239">
        <f>O11-O35</f>
        <v>637169.61723214225</v>
      </c>
      <c r="Q37" s="239">
        <f>Q11-Q35</f>
        <v>644841.27783642581</v>
      </c>
      <c r="S37" s="239">
        <f>S11-S35</f>
        <v>652378.27828245563</v>
      </c>
      <c r="U37" s="239">
        <f>U11-U35</f>
        <v>659765.81253011664</v>
      </c>
      <c r="W37" s="239">
        <f>W11-W35</f>
        <v>666988.30372997932</v>
      </c>
      <c r="Y37" s="239">
        <f>Y11-Y35</f>
        <v>674029.37092452333</v>
      </c>
      <c r="AA37" s="239">
        <f>AA11-AA35</f>
        <v>680871.79442580394</v>
      </c>
      <c r="AC37" s="239">
        <f>AC11-AC35</f>
        <v>687497.47981924657</v>
      </c>
      <c r="AE37" s="239">
        <f>AE11-AE35</f>
        <v>693887.42054144992</v>
      </c>
      <c r="AG37" s="239">
        <f>AG11-AG35</f>
        <v>700021.65897792578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CCRC Bank</v>
      </c>
      <c r="B40" s="242"/>
      <c r="C40" s="236"/>
      <c r="E40" s="238">
        <f>Application!AF627</f>
        <v>471948</v>
      </c>
      <c r="F40" s="238"/>
      <c r="G40" s="238">
        <f>$E$40</f>
        <v>471948</v>
      </c>
      <c r="H40" s="238"/>
      <c r="I40" s="238">
        <f>$E$40</f>
        <v>471948</v>
      </c>
      <c r="J40" s="238"/>
      <c r="K40" s="238">
        <f>$E$40</f>
        <v>471948</v>
      </c>
      <c r="L40" s="238"/>
      <c r="M40" s="238">
        <f>$E$40</f>
        <v>471948</v>
      </c>
      <c r="N40" s="238"/>
      <c r="O40" s="238">
        <f>$E$40</f>
        <v>471948</v>
      </c>
      <c r="P40" s="238"/>
      <c r="Q40" s="238">
        <f>$E$40</f>
        <v>471948</v>
      </c>
      <c r="R40" s="238"/>
      <c r="S40" s="238">
        <f>$E$40</f>
        <v>471948</v>
      </c>
      <c r="T40" s="238"/>
      <c r="U40" s="238">
        <f>$E$40</f>
        <v>471948</v>
      </c>
      <c r="V40" s="238"/>
      <c r="W40" s="238">
        <f>$E$40</f>
        <v>471948</v>
      </c>
      <c r="X40" s="238"/>
      <c r="Y40" s="238">
        <f>$E$40</f>
        <v>471948</v>
      </c>
      <c r="Z40" s="238"/>
      <c r="AA40" s="238">
        <f>$E$40</f>
        <v>471948</v>
      </c>
      <c r="AB40" s="238"/>
      <c r="AC40" s="238">
        <f>$E$40</f>
        <v>471948</v>
      </c>
      <c r="AD40" s="238"/>
      <c r="AE40" s="238">
        <f>$E$40</f>
        <v>471948</v>
      </c>
      <c r="AF40" s="238"/>
      <c r="AG40" s="238">
        <f>$E$40</f>
        <v>471948</v>
      </c>
    </row>
    <row r="41" spans="1:33" s="225" customFormat="1" ht="14.25">
      <c r="A41" s="241" t="s">
        <v>2750</v>
      </c>
      <c r="B41" s="242"/>
      <c r="C41" s="236"/>
      <c r="E41" s="238">
        <f>Application!AF628</f>
        <v>47374</v>
      </c>
      <c r="F41" s="238"/>
      <c r="G41" s="238">
        <f>$E$41</f>
        <v>47374</v>
      </c>
      <c r="H41" s="238"/>
      <c r="I41" s="238">
        <f>$E$41</f>
        <v>47374</v>
      </c>
      <c r="J41" s="238"/>
      <c r="K41" s="238">
        <f>$E$41</f>
        <v>47374</v>
      </c>
      <c r="L41" s="238"/>
      <c r="M41" s="238">
        <f>$E$41</f>
        <v>47374</v>
      </c>
      <c r="N41" s="238"/>
      <c r="O41" s="238">
        <f>$E$41</f>
        <v>47374</v>
      </c>
      <c r="P41" s="238"/>
      <c r="Q41" s="238">
        <f>$E$41</f>
        <v>47374</v>
      </c>
      <c r="R41" s="238"/>
      <c r="S41" s="238">
        <f>$E$41</f>
        <v>47374</v>
      </c>
      <c r="T41" s="238"/>
      <c r="U41" s="238">
        <f>$E$41</f>
        <v>47374</v>
      </c>
      <c r="V41" s="238"/>
      <c r="W41" s="238">
        <f>$E$41</f>
        <v>47374</v>
      </c>
      <c r="X41" s="238"/>
      <c r="Y41" s="238">
        <f>$E$41</f>
        <v>47374</v>
      </c>
      <c r="Z41" s="238"/>
      <c r="AA41" s="238">
        <f>$E$41</f>
        <v>47374</v>
      </c>
      <c r="AB41" s="238"/>
      <c r="AC41" s="238">
        <f>$E$41</f>
        <v>47374</v>
      </c>
      <c r="AD41" s="238"/>
      <c r="AE41" s="238">
        <f>$E$41</f>
        <v>47374</v>
      </c>
      <c r="AF41" s="238"/>
      <c r="AG41" s="238">
        <f>$E$41</f>
        <v>47374</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519322</v>
      </c>
      <c r="G43" s="239">
        <f>SUM(G40:G42)</f>
        <v>519322</v>
      </c>
      <c r="I43" s="239">
        <f>SUM(I40:I42)</f>
        <v>519322</v>
      </c>
      <c r="K43" s="239">
        <f>SUM(K40:K42)</f>
        <v>519322</v>
      </c>
      <c r="M43" s="239">
        <f>SUM(M40:M42)</f>
        <v>519322</v>
      </c>
      <c r="O43" s="239">
        <f>SUM(O40:O42)</f>
        <v>519322</v>
      </c>
      <c r="Q43" s="239">
        <f>SUM(Q40:Q42)</f>
        <v>519322</v>
      </c>
      <c r="S43" s="239">
        <f>SUM(S40:S42)</f>
        <v>519322</v>
      </c>
      <c r="U43" s="239">
        <f>SUM(U40:U42)</f>
        <v>519322</v>
      </c>
      <c r="W43" s="239">
        <f>SUM(W40:W42)</f>
        <v>519322</v>
      </c>
      <c r="Y43" s="239">
        <f>SUM(Y40:Y42)</f>
        <v>519322</v>
      </c>
      <c r="AA43" s="239">
        <f>SUM(AA40:AA42)</f>
        <v>519322</v>
      </c>
      <c r="AC43" s="239">
        <f>SUM(AC40:AC42)</f>
        <v>519322</v>
      </c>
      <c r="AE43" s="239">
        <f>SUM(AE40:AE42)</f>
        <v>519322</v>
      </c>
      <c r="AG43" s="239">
        <f>SUM(AG40:AG42)</f>
        <v>519322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77937.600000000093</v>
      </c>
      <c r="G45" s="239">
        <f>G37-G43</f>
        <v>86085.274999999674</v>
      </c>
      <c r="I45" s="239">
        <f>I37-I43</f>
        <v>94161.836674999911</v>
      </c>
      <c r="K45" s="239">
        <f>K37-K43</f>
        <v>102155.87657637498</v>
      </c>
      <c r="M45" s="239">
        <f>M37-M43</f>
        <v>110055.36372407188</v>
      </c>
      <c r="O45" s="239">
        <f>O37-O43</f>
        <v>117847.61723214225</v>
      </c>
      <c r="Q45" s="239">
        <f>Q37-Q43</f>
        <v>125519.27783642581</v>
      </c>
      <c r="S45" s="239">
        <f>S37-S43</f>
        <v>133056.27828245563</v>
      </c>
      <c r="U45" s="239">
        <f>U37-U43</f>
        <v>140443.81253011664</v>
      </c>
      <c r="W45" s="239">
        <f>W37-W43</f>
        <v>147666.30372997932</v>
      </c>
      <c r="Y45" s="239">
        <f>Y37-Y43</f>
        <v>154707.37092452333</v>
      </c>
      <c r="AA45" s="239">
        <f>AA37-AA43</f>
        <v>161549.79442580394</v>
      </c>
      <c r="AC45" s="239">
        <f>AC37-AC43</f>
        <v>168175.47981924657</v>
      </c>
      <c r="AE45" s="239">
        <f>AE37-AE43</f>
        <v>174565.42054144992</v>
      </c>
      <c r="AG45" s="239">
        <f>AG37-AG43</f>
        <v>180699.65897792578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5.0184672920304811E-2</v>
      </c>
      <c r="G47" s="243">
        <f>G45/(G4+G6+G8)</f>
        <v>5.4079052724724762E-2</v>
      </c>
      <c r="I47" s="243">
        <f>I45/(I4+I6+I8)</f>
        <v>5.7710024699819375E-2</v>
      </c>
      <c r="K47" s="243">
        <f>K45/(K4+K6+K8)</f>
        <v>6.1082362841601366E-2</v>
      </c>
      <c r="M47" s="243">
        <f>M45/(M4+M6+M8)</f>
        <v>6.4200708640152135E-2</v>
      </c>
      <c r="O47" s="243">
        <f>O45/(O4+O6+O8)</f>
        <v>6.7069574154544551E-2</v>
      </c>
      <c r="Q47" s="243">
        <f>Q45/(Q4+Q6+Q8)</f>
        <v>6.9693345011239943E-2</v>
      </c>
      <c r="S47" s="243">
        <f>S45/(S4+S6+S8)</f>
        <v>7.2076283327805316E-2</v>
      </c>
      <c r="U47" s="243">
        <f>U45/(U4+U6+U8)</f>
        <v>7.4222530563761102E-2</v>
      </c>
      <c r="W47" s="243">
        <f>W45/(W4+W6+W8)</f>
        <v>7.6136110300325813E-2</v>
      </c>
      <c r="Y47" s="243">
        <f>Y45/(Y4+Y6+Y8)</f>
        <v>7.7820930950760897E-2</v>
      </c>
      <c r="AA47" s="243">
        <f>AA45/(AA4+AA6+AA8)</f>
        <v>7.9280788403014182E-2</v>
      </c>
      <c r="AC47" s="243">
        <f>AC45/(AC4+AC6+AC8)</f>
        <v>8.0519368596279325E-2</v>
      </c>
      <c r="AE47" s="243">
        <f>AE45/(AE4+AE6+AE8)</f>
        <v>8.1540250033077619E-2</v>
      </c>
      <c r="AG47" s="243">
        <f>AG45/(AG4+AG6+AG8)</f>
        <v>8.2346906228415298E-2</v>
      </c>
    </row>
    <row r="48" spans="1:33" s="243" customFormat="1" ht="14.25">
      <c r="A48" s="243" t="s">
        <v>863</v>
      </c>
      <c r="C48" s="236"/>
      <c r="E48" s="243">
        <f>E45/E43</f>
        <v>0.1500756755924072</v>
      </c>
      <c r="G48" s="243">
        <f>G45/G43</f>
        <v>0.16576473748464282</v>
      </c>
      <c r="I48" s="243">
        <f>I45/I43</f>
        <v>0.18131686444055886</v>
      </c>
      <c r="K48" s="243">
        <f>K45/K43</f>
        <v>0.19671008849302549</v>
      </c>
      <c r="M48" s="243">
        <f>M45/M43</f>
        <v>0.21192124293612033</v>
      </c>
      <c r="O48" s="243">
        <f>O45/O43</f>
        <v>0.22692590961319228</v>
      </c>
      <c r="Q48" s="243">
        <f>Q45/Q43</f>
        <v>0.24169836409092205</v>
      </c>
      <c r="S48" s="243">
        <f>S45/S43</f>
        <v>0.25621151863863967</v>
      </c>
      <c r="U48" s="243">
        <f>U45/U43</f>
        <v>0.27043686292919739</v>
      </c>
      <c r="W48" s="243">
        <f>W45/W43</f>
        <v>0.2843444023745948</v>
      </c>
      <c r="Y48" s="243">
        <f>Y45/Y43</f>
        <v>0.29790259400626845</v>
      </c>
      <c r="AA48" s="243">
        <f>AA45/AA43</f>
        <v>0.31107827980675562</v>
      </c>
      <c r="AC48" s="243">
        <f>AC45/AC43</f>
        <v>0.32383661739584796</v>
      </c>
      <c r="AE48" s="243">
        <f>AE45/AE43</f>
        <v>0.33614100797087337</v>
      </c>
      <c r="AG48" s="243">
        <f>AG45/AG43</f>
        <v>0.34795302139698642</v>
      </c>
    </row>
    <row r="49" spans="1:35" s="244" customFormat="1" ht="14.25">
      <c r="A49" s="244" t="s">
        <v>861</v>
      </c>
      <c r="C49" s="245"/>
      <c r="E49" s="244">
        <f>E37/E43</f>
        <v>1.1500756755924073</v>
      </c>
      <c r="G49" s="244">
        <f>G37/G43</f>
        <v>1.1657647374846427</v>
      </c>
      <c r="I49" s="244">
        <f>I37/I43</f>
        <v>1.1813168644405589</v>
      </c>
      <c r="K49" s="244">
        <f>K37/K43</f>
        <v>1.1967100884930255</v>
      </c>
      <c r="M49" s="244">
        <f>M37/M43</f>
        <v>1.2119212429361204</v>
      </c>
      <c r="O49" s="244">
        <f>O37/O43</f>
        <v>1.2269259096131924</v>
      </c>
      <c r="Q49" s="244">
        <f>Q37/Q43</f>
        <v>1.241698364090922</v>
      </c>
      <c r="S49" s="244">
        <f>S37/S43</f>
        <v>1.2562115186386398</v>
      </c>
      <c r="U49" s="244">
        <f>U37/U43</f>
        <v>1.2704368629291973</v>
      </c>
      <c r="W49" s="244">
        <f>W37/W43</f>
        <v>1.2843444023745949</v>
      </c>
      <c r="Y49" s="244">
        <f>Y37/Y43</f>
        <v>1.2979025940062685</v>
      </c>
      <c r="AA49" s="244">
        <f>AA37/AA43</f>
        <v>1.3110782798067555</v>
      </c>
      <c r="AC49" s="244">
        <f>AC37/AC43</f>
        <v>1.323836617395848</v>
      </c>
      <c r="AE49" s="244">
        <f>AE37/AE43</f>
        <v>1.3361410079708733</v>
      </c>
      <c r="AG49" s="244">
        <f>AG37/AG43</f>
        <v>1.3479530213969864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1290</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77937.600000000093</v>
      </c>
      <c r="G60" s="997">
        <f>G45-G58</f>
        <v>86085.274999999674</v>
      </c>
      <c r="I60" s="997">
        <f>I45-I58</f>
        <v>94161.836674999911</v>
      </c>
      <c r="K60" s="997">
        <f>K45-K58</f>
        <v>102155.87657637498</v>
      </c>
      <c r="M60" s="997">
        <f>M45-M58</f>
        <v>110055.36372407188</v>
      </c>
      <c r="O60" s="997">
        <f>O45-O58</f>
        <v>117847.61723214225</v>
      </c>
      <c r="Q60" s="997">
        <f>Q45-Q58</f>
        <v>125519.27783642581</v>
      </c>
      <c r="S60" s="997">
        <f>S45-S58</f>
        <v>133056.27828245563</v>
      </c>
      <c r="U60" s="997">
        <f>U45-U58</f>
        <v>140443.81253011664</v>
      </c>
      <c r="W60" s="997">
        <f>W45-W58</f>
        <v>147666.30372997932</v>
      </c>
      <c r="Y60" s="997">
        <f>Y45-Y58</f>
        <v>154707.37092452333</v>
      </c>
      <c r="AA60" s="997">
        <f>AA45-AA58</f>
        <v>161549.79442580394</v>
      </c>
      <c r="AC60" s="997">
        <f>AC45-AC58</f>
        <v>168175.47981924657</v>
      </c>
      <c r="AE60" s="997">
        <f>AE45-AE58</f>
        <v>174565.42054144992</v>
      </c>
      <c r="AG60" s="997">
        <f>AG45-AG58</f>
        <v>180699.65897792578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38968.800000000047</v>
      </c>
      <c r="G62" s="997">
        <f>G60*$C$62</f>
        <v>43042.637499999837</v>
      </c>
      <c r="I62" s="997">
        <f>I60*$C$62</f>
        <v>47080.918337499956</v>
      </c>
      <c r="K62" s="997">
        <f>K60*$C$62</f>
        <v>51077.938288187492</v>
      </c>
      <c r="M62" s="997">
        <f>M60*$C$62</f>
        <v>55027.681862035941</v>
      </c>
      <c r="O62" s="997">
        <f>O60*$C$62</f>
        <v>58923.808616071125</v>
      </c>
      <c r="Q62" s="997">
        <f>Q60*$C$62</f>
        <v>62759.638918212906</v>
      </c>
      <c r="S62" s="997">
        <f>S60*$C$62</f>
        <v>66528.139141227817</v>
      </c>
      <c r="U62" s="997">
        <f>U60*$C$62</f>
        <v>70221.906265058322</v>
      </c>
      <c r="W62" s="997">
        <f>W60*$C$62</f>
        <v>73833.151864989661</v>
      </c>
      <c r="Y62" s="997">
        <f>Y60*$C$62</f>
        <v>77353.685462261667</v>
      </c>
      <c r="AA62" s="997">
        <f>AA60*$C$62</f>
        <v>80774.897212901968</v>
      </c>
      <c r="AC62" s="997">
        <f>AC60*$C$62</f>
        <v>84087.739909623284</v>
      </c>
      <c r="AE62" s="997">
        <f>AE60*$C$62</f>
        <v>87282.710270724958</v>
      </c>
      <c r="AG62" s="997">
        <f>AG60*$C$62</f>
        <v>90349.829488962889</v>
      </c>
    </row>
    <row r="63" spans="1:35" s="997" customFormat="1">
      <c r="A63" s="2673" t="s">
        <v>1290</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19484.400000000023</v>
      </c>
      <c r="G66" s="995">
        <f>G60*$C$65</f>
        <v>21521.318749999919</v>
      </c>
      <c r="I66" s="995">
        <f>I60*$C$65</f>
        <v>23540.459168749978</v>
      </c>
      <c r="K66" s="995">
        <f>K60*$C$65</f>
        <v>25538.969144093746</v>
      </c>
      <c r="M66" s="995">
        <f>M60*$C$65</f>
        <v>27513.84093101797</v>
      </c>
      <c r="O66" s="995">
        <f>O60*$C$65</f>
        <v>29461.904308035562</v>
      </c>
      <c r="Q66" s="995">
        <f>Q60*$C$65</f>
        <v>31379.819459106453</v>
      </c>
      <c r="S66" s="995">
        <f>S60*$C$65</f>
        <v>33264.069570613909</v>
      </c>
      <c r="U66" s="995">
        <f>U60*$C$65</f>
        <v>35110.953132529161</v>
      </c>
      <c r="W66" s="995">
        <f>W60*$C$65</f>
        <v>36916.57593249483</v>
      </c>
      <c r="Y66" s="995">
        <f>Y60*$C$65</f>
        <v>38676.842731130833</v>
      </c>
      <c r="AA66" s="995">
        <f>AA60*$C$65</f>
        <v>40387.448606450984</v>
      </c>
      <c r="AC66" s="995">
        <f>AC60*$C$65</f>
        <v>42043.869954811642</v>
      </c>
      <c r="AE66" s="995">
        <f>AE60*$C$65</f>
        <v>43641.355135362479</v>
      </c>
      <c r="AG66" s="995">
        <f>AG60*$C$65</f>
        <v>45174.914744481444</v>
      </c>
    </row>
    <row r="67" spans="1:35" s="995" customFormat="1">
      <c r="A67" s="1000"/>
      <c r="B67" s="1000"/>
      <c r="C67" s="1005"/>
      <c r="E67" s="999">
        <f>$E60*$C$65</f>
        <v>19484.400000000023</v>
      </c>
      <c r="G67" s="995">
        <f>G60*$C$65</f>
        <v>21521.318749999919</v>
      </c>
      <c r="I67" s="995">
        <f>I60*$C$65</f>
        <v>23540.459168749978</v>
      </c>
      <c r="K67" s="995">
        <f>K60*$C$65</f>
        <v>25538.969144093746</v>
      </c>
      <c r="M67" s="995">
        <f>M60*$C$65</f>
        <v>27513.84093101797</v>
      </c>
      <c r="O67" s="995">
        <f>O60*$C$65</f>
        <v>29461.904308035562</v>
      </c>
      <c r="Q67" s="995">
        <f>Q60*$C$65</f>
        <v>31379.819459106453</v>
      </c>
      <c r="S67" s="995">
        <f>S60*$C$65</f>
        <v>33264.069570613909</v>
      </c>
      <c r="U67" s="995">
        <f>U60*$C$65</f>
        <v>35110.953132529161</v>
      </c>
      <c r="W67" s="995">
        <f>W60*$C$65</f>
        <v>36916.57593249483</v>
      </c>
      <c r="Y67" s="995">
        <f>Y60*$C$65</f>
        <v>38676.842731130833</v>
      </c>
      <c r="AA67" s="995">
        <f>AA60*$C$65</f>
        <v>40387.448606450984</v>
      </c>
      <c r="AC67" s="995">
        <f>AC60*$C$65</f>
        <v>42043.869954811642</v>
      </c>
      <c r="AE67" s="995">
        <f>AE60*$C$65</f>
        <v>43641.355135362479</v>
      </c>
      <c r="AG67" s="995">
        <f>AG60*$C$65</f>
        <v>45174.914744481444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38968.800000000047</v>
      </c>
      <c r="G70" s="995">
        <f>SUM(G66:G69)</f>
        <v>43042.637499999837</v>
      </c>
      <c r="I70" s="995">
        <f>SUM(I66:I69)</f>
        <v>47080.918337499956</v>
      </c>
      <c r="K70" s="995">
        <f>SUM(K66:K69)</f>
        <v>51077.938288187492</v>
      </c>
      <c r="M70" s="995">
        <f>SUM(M66:M69)</f>
        <v>55027.681862035941</v>
      </c>
      <c r="O70" s="995">
        <f>SUM(O66:O69)</f>
        <v>58923.808616071125</v>
      </c>
      <c r="Q70" s="995">
        <f>SUM(Q66:Q69)</f>
        <v>62759.638918212906</v>
      </c>
      <c r="S70" s="995">
        <f>SUM(S66:S69)</f>
        <v>66528.139141227817</v>
      </c>
      <c r="U70" s="995">
        <f>SUM(U66:U69)</f>
        <v>70221.906265058322</v>
      </c>
      <c r="W70" s="995">
        <f>SUM(W66:W69)</f>
        <v>73833.151864989661</v>
      </c>
      <c r="Y70" s="995">
        <f>SUM(Y66:Y69)</f>
        <v>77353.685462261667</v>
      </c>
      <c r="AA70" s="995">
        <f>SUM(AA66:AA69)</f>
        <v>80774.897212901968</v>
      </c>
      <c r="AC70" s="995">
        <f>SUM(AC66:AC69)</f>
        <v>84087.739909623284</v>
      </c>
      <c r="AE70" s="995">
        <f>SUM(AE66:AE69)</f>
        <v>87282.710270724958</v>
      </c>
      <c r="AG70" s="995">
        <f>SUM(AG66:AG69)</f>
        <v>90349.829488962889</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1" t="s">
        <v>1911</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1022368</v>
      </c>
      <c r="C5" s="286">
        <f>'Sources and Uses Budget'!$C4</f>
        <v>1022368</v>
      </c>
      <c r="D5" s="290">
        <f>C5-B5</f>
        <v>0</v>
      </c>
      <c r="E5" s="288"/>
      <c r="F5" s="287"/>
      <c r="G5" s="383"/>
    </row>
    <row r="6" spans="1:7" s="380" customFormat="1">
      <c r="A6" s="395" t="s">
        <v>28</v>
      </c>
      <c r="B6" s="286">
        <f>'Sources and Uses Budget'!$C5</f>
        <v>32788</v>
      </c>
      <c r="C6" s="286">
        <f>'Sources and Uses Budget'!$C5</f>
        <v>32788</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1055156</v>
      </c>
      <c r="C9" s="290">
        <f>SUM(C5:C8)</f>
        <v>1055156</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36750</v>
      </c>
      <c r="C11" s="286">
        <f>'Sources and Uses Budget'!$C10</f>
        <v>36750</v>
      </c>
      <c r="D11" s="290">
        <f t="shared" si="0"/>
        <v>0</v>
      </c>
      <c r="E11" s="288"/>
      <c r="F11" s="287"/>
      <c r="G11" s="383"/>
    </row>
    <row r="12" spans="1:7" s="380" customFormat="1">
      <c r="A12" s="396" t="s">
        <v>604</v>
      </c>
      <c r="B12" s="290">
        <f>SUM(B10:B11)</f>
        <v>36750</v>
      </c>
      <c r="C12" s="290">
        <f>SUM(C10:C11)</f>
        <v>36750</v>
      </c>
      <c r="D12" s="290">
        <f t="shared" si="0"/>
        <v>0</v>
      </c>
      <c r="E12" s="288"/>
      <c r="F12" s="287"/>
      <c r="G12" s="383"/>
    </row>
    <row r="13" spans="1:7" s="380" customFormat="1">
      <c r="A13" s="396" t="s">
        <v>84</v>
      </c>
      <c r="B13" s="290">
        <f>SUM(B9+B12)</f>
        <v>1091906</v>
      </c>
      <c r="C13" s="290">
        <f>SUM(C9+C12)</f>
        <v>1091906</v>
      </c>
      <c r="D13" s="290">
        <f t="shared" si="0"/>
        <v>0</v>
      </c>
      <c r="E13" s="288"/>
      <c r="F13" s="287"/>
      <c r="G13" s="383"/>
    </row>
    <row r="14" spans="1:7" s="380" customFormat="1">
      <c r="A14" s="397" t="s">
        <v>917</v>
      </c>
      <c r="B14" s="286">
        <f>'Sources and Uses Budget'!$C13</f>
        <v>256973</v>
      </c>
      <c r="C14" s="286">
        <f>'Sources and Uses Budget'!$C13</f>
        <v>256973</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3203234</v>
      </c>
      <c r="C30" s="286">
        <f>'Sources and Uses Budget'!$C29</f>
        <v>3203234</v>
      </c>
      <c r="D30" s="290">
        <f t="shared" si="0"/>
        <v>0</v>
      </c>
      <c r="E30" s="288"/>
      <c r="F30" s="287"/>
      <c r="G30" s="383"/>
    </row>
    <row r="31" spans="1:7" s="380" customFormat="1">
      <c r="A31" s="145" t="s">
        <v>607</v>
      </c>
      <c r="B31" s="286">
        <f>'Sources and Uses Budget'!$C30</f>
        <v>28651960</v>
      </c>
      <c r="C31" s="286">
        <f>'Sources and Uses Budget'!$C30</f>
        <v>28651960</v>
      </c>
      <c r="D31" s="290">
        <f t="shared" si="0"/>
        <v>0</v>
      </c>
      <c r="E31" s="288"/>
      <c r="F31" s="287"/>
      <c r="G31" s="383"/>
    </row>
    <row r="32" spans="1:7" s="380" customFormat="1">
      <c r="A32" s="145" t="s">
        <v>608</v>
      </c>
      <c r="B32" s="286">
        <f>'Sources and Uses Budget'!$C31</f>
        <v>995804</v>
      </c>
      <c r="C32" s="286">
        <f>'Sources and Uses Budget'!$C31</f>
        <v>995804</v>
      </c>
      <c r="D32" s="290">
        <f t="shared" si="0"/>
        <v>0</v>
      </c>
      <c r="E32" s="288"/>
      <c r="F32" s="287"/>
      <c r="G32" s="383"/>
    </row>
    <row r="33" spans="1:7" s="380" customFormat="1">
      <c r="A33" s="145" t="s">
        <v>137</v>
      </c>
      <c r="B33" s="286">
        <f>'Sources and Uses Budget'!$C32</f>
        <v>1109098</v>
      </c>
      <c r="C33" s="286">
        <f>'Sources and Uses Budget'!$C32</f>
        <v>1109098</v>
      </c>
      <c r="D33" s="290">
        <f t="shared" si="0"/>
        <v>0</v>
      </c>
      <c r="E33" s="288"/>
      <c r="F33" s="287"/>
      <c r="G33" s="383"/>
    </row>
    <row r="34" spans="1:7" s="380" customFormat="1">
      <c r="A34" s="145" t="s">
        <v>138</v>
      </c>
      <c r="B34" s="286">
        <f>'Sources and Uses Budget'!$C33</f>
        <v>1109098</v>
      </c>
      <c r="C34" s="286">
        <f>'Sources and Uses Budget'!$C33</f>
        <v>1109098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480609</v>
      </c>
      <c r="C36" s="286">
        <f>'Sources and Uses Budget'!$C35</f>
        <v>480609</v>
      </c>
      <c r="D36" s="290">
        <f t="shared" si="0"/>
        <v>0</v>
      </c>
      <c r="E36" s="288"/>
      <c r="F36" s="287"/>
      <c r="G36" s="383"/>
    </row>
    <row r="37" spans="1:7" s="380" customFormat="1">
      <c r="A37" s="304" t="s">
        <v>1753</v>
      </c>
      <c r="B37" s="286">
        <f>'Sources and Uses Budget'!$C36</f>
        <v>349525</v>
      </c>
      <c r="C37" s="286">
        <f>'Sources and Uses Budget'!$C36</f>
        <v>349525</v>
      </c>
      <c r="D37" s="290"/>
      <c r="E37" s="288"/>
      <c r="F37" s="287"/>
      <c r="G37" s="383"/>
    </row>
    <row r="38" spans="1:7" s="380" customFormat="1">
      <c r="A38" s="155" t="str">
        <f>'Sources and Uses Budget'!A37</f>
        <v>Other: Escalation Contingency</v>
      </c>
      <c r="B38" s="286">
        <f>'Sources and Uses Budget'!$C37</f>
        <v>1796494</v>
      </c>
      <c r="C38" s="286">
        <f>'Sources and Uses Budget'!$C37</f>
        <v>1796494</v>
      </c>
      <c r="D38" s="290">
        <f t="shared" si="0"/>
        <v>0</v>
      </c>
      <c r="E38" s="288"/>
      <c r="F38" s="287"/>
      <c r="G38" s="383"/>
    </row>
    <row r="39" spans="1:7" s="380" customFormat="1">
      <c r="A39" s="291" t="s">
        <v>143</v>
      </c>
      <c r="B39" s="290">
        <f>SUM(B30:B38)</f>
        <v>37695822</v>
      </c>
      <c r="C39" s="290">
        <f>SUM(C30:C38)</f>
        <v>37695822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1362421</v>
      </c>
      <c r="C41" s="286">
        <f>'Sources and Uses Budget'!$C40</f>
        <v>1362421</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c r="A43" s="291" t="s">
        <v>147</v>
      </c>
      <c r="B43" s="290">
        <f>SUM(B41:B42)</f>
        <v>1612421</v>
      </c>
      <c r="C43" s="290">
        <f>SUM(C41:C42)</f>
        <v>1612421</v>
      </c>
      <c r="D43" s="290">
        <f t="shared" si="0"/>
        <v>0</v>
      </c>
      <c r="E43" s="288"/>
      <c r="F43" s="287"/>
      <c r="G43" s="383"/>
    </row>
    <row r="44" spans="1:7" s="380" customFormat="1">
      <c r="A44" s="291" t="s">
        <v>148</v>
      </c>
      <c r="B44" s="286">
        <f>'Sources and Uses Budget'!$C43</f>
        <v>81003</v>
      </c>
      <c r="C44" s="286">
        <f>'Sources and Uses Budget'!$C43</f>
        <v>81003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5018735</v>
      </c>
      <c r="C46" s="286">
        <f>'Sources and Uses Budget'!$C45</f>
        <v>5018735</v>
      </c>
      <c r="D46" s="290">
        <f t="shared" si="0"/>
        <v>0</v>
      </c>
      <c r="E46" s="288"/>
      <c r="F46" s="287"/>
      <c r="G46" s="383"/>
    </row>
    <row r="47" spans="1:7" s="380" customFormat="1">
      <c r="A47" s="145" t="s">
        <v>151</v>
      </c>
      <c r="B47" s="286">
        <f>'Sources and Uses Budget'!$C46</f>
        <v>342504</v>
      </c>
      <c r="C47" s="286">
        <f>'Sources and Uses Budget'!$C46</f>
        <v>342504</v>
      </c>
      <c r="D47" s="290">
        <f t="shared" si="0"/>
        <v>0</v>
      </c>
      <c r="E47" s="288"/>
      <c r="F47" s="287"/>
      <c r="G47" s="383"/>
    </row>
    <row r="48" spans="1:7" s="380" customFormat="1" ht="12" customHeight="1">
      <c r="A48" s="198" t="s">
        <v>152</v>
      </c>
      <c r="B48" s="286">
        <f>'Sources and Uses Budget'!$C47</f>
        <v>45000</v>
      </c>
      <c r="C48" s="286">
        <f>'Sources and Uses Budget'!$C47</f>
        <v>45000</v>
      </c>
      <c r="D48" s="290">
        <f t="shared" si="0"/>
        <v>0</v>
      </c>
      <c r="E48" s="288"/>
      <c r="F48" s="287"/>
      <c r="G48" s="383"/>
    </row>
    <row r="49" spans="1:7" s="380" customFormat="1">
      <c r="A49" s="145" t="s">
        <v>153</v>
      </c>
      <c r="B49" s="286">
        <f>'Sources and Uses Budget'!$C48</f>
        <v>310547</v>
      </c>
      <c r="C49" s="286">
        <f>'Sources and Uses Budget'!$C48</f>
        <v>310547</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85658</v>
      </c>
      <c r="C51" s="286">
        <f>'Sources and Uses Budget'!$C50</f>
        <v>85658</v>
      </c>
      <c r="D51" s="290">
        <f t="shared" si="0"/>
        <v>0</v>
      </c>
      <c r="E51" s="288"/>
      <c r="F51" s="287"/>
      <c r="G51" s="383"/>
    </row>
    <row r="52" spans="1:7" s="380" customFormat="1">
      <c r="A52" s="304" t="s">
        <v>154</v>
      </c>
      <c r="B52" s="286">
        <f>'Sources and Uses Budget'!$C51</f>
        <v>22364</v>
      </c>
      <c r="C52" s="286">
        <f>'Sources and Uses Budget'!$C51</f>
        <v>22364</v>
      </c>
      <c r="D52" s="290">
        <f t="shared" si="0"/>
        <v>0</v>
      </c>
      <c r="E52" s="288"/>
      <c r="F52" s="287"/>
      <c r="G52" s="383"/>
    </row>
    <row r="53" spans="1:7" s="380" customFormat="1">
      <c r="A53" s="145" t="s">
        <v>155</v>
      </c>
      <c r="B53" s="286">
        <f>'Sources and Uses Budget'!$C52</f>
        <v>714921</v>
      </c>
      <c r="C53" s="286">
        <f>'Sources and Uses Budget'!$C52</f>
        <v>714921</v>
      </c>
      <c r="D53" s="290">
        <f t="shared" si="0"/>
        <v>0</v>
      </c>
      <c r="E53" s="288"/>
      <c r="F53" s="287"/>
      <c r="G53" s="383"/>
    </row>
    <row r="54" spans="1:7" s="380" customFormat="1">
      <c r="A54" s="155" t="str">
        <f>'Sources and Uses Budget'!A53</f>
        <v>Other: Issuer Fees, CDLAC, CDIAC</v>
      </c>
      <c r="B54" s="286">
        <f>'Sources and Uses Budget'!$C53</f>
        <v>133746</v>
      </c>
      <c r="C54" s="286">
        <f>'Sources and Uses Budget'!$C53</f>
        <v>133746</v>
      </c>
      <c r="D54" s="290">
        <f t="shared" si="0"/>
        <v>0</v>
      </c>
      <c r="E54" s="288"/>
      <c r="F54" s="287"/>
      <c r="G54" s="383"/>
    </row>
    <row r="55" spans="1:7" s="381" customFormat="1">
      <c r="A55" s="291" t="s">
        <v>157</v>
      </c>
      <c r="B55" s="293">
        <f>SUM(B46:B54)</f>
        <v>6673475</v>
      </c>
      <c r="C55" s="293">
        <f>SUM(C46:C54)</f>
        <v>6673475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63370</v>
      </c>
      <c r="C57" s="286">
        <f>'Sources and Uses Budget'!$C56</f>
        <v>63370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Legal Sponsor + Lender)</v>
      </c>
      <c r="B62" s="286">
        <f>'Sources and Uses Budget'!$C61</f>
        <v>25000</v>
      </c>
      <c r="C62" s="286">
        <f>'Sources and Uses Budget'!$C61</f>
        <v>25000</v>
      </c>
      <c r="D62" s="290">
        <f t="shared" si="0"/>
        <v>0</v>
      </c>
      <c r="E62" s="288"/>
      <c r="F62" s="287"/>
      <c r="G62" s="383"/>
    </row>
    <row r="63" spans="1:7" s="380" customFormat="1" ht="13.9" customHeight="1">
      <c r="A63" s="291" t="s">
        <v>302</v>
      </c>
      <c r="B63" s="290">
        <f>SUM(B57:B62)</f>
        <v>113370</v>
      </c>
      <c r="C63" s="290">
        <f>SUM(C57:C62)</f>
        <v>113370</v>
      </c>
      <c r="D63" s="290">
        <f t="shared" si="0"/>
        <v>0</v>
      </c>
      <c r="E63" s="288"/>
      <c r="F63" s="287"/>
      <c r="G63" s="383"/>
    </row>
    <row r="64" spans="1:7" s="380" customFormat="1">
      <c r="A64" s="294" t="s">
        <v>303</v>
      </c>
      <c r="B64" s="290">
        <f>SUM(B9+B12+B14+B15+B17+B26+B28+B39+B43+B44+B55+B63)</f>
        <v>47524970</v>
      </c>
      <c r="C64" s="290">
        <f>SUM(C9+C12+C14+C15+C17+C26+C28+C39+C43+C44+C55+C63)</f>
        <v>47524970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115000</v>
      </c>
      <c r="C66" s="286">
        <f>'Sources and Uses Budget'!$C65</f>
        <v>115000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Other:Constr Closing</v>
      </c>
      <c r="B70" s="286">
        <f>'Sources and Uses Budget'!$C69</f>
        <v>71842</v>
      </c>
      <c r="C70" s="286">
        <f>'Sources and Uses Budget'!$C69</f>
        <v>71842</v>
      </c>
      <c r="D70" s="290">
        <f t="shared" si="0"/>
        <v>0</v>
      </c>
      <c r="E70" s="288"/>
      <c r="F70" s="287"/>
      <c r="G70" s="383"/>
    </row>
    <row r="71" spans="1:7" s="380" customFormat="1">
      <c r="A71" s="149" t="s">
        <v>1758</v>
      </c>
      <c r="B71" s="290">
        <f>SUM(B66:B70)</f>
        <v>186842</v>
      </c>
      <c r="C71" s="290">
        <f>SUM(C66:C70)</f>
        <v>186842</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678568</v>
      </c>
      <c r="C76" s="286">
        <f>'Sources and Uses Budget'!$C75</f>
        <v>678568</v>
      </c>
      <c r="D76" s="290">
        <f t="shared" si="0"/>
        <v>0</v>
      </c>
      <c r="E76" s="288"/>
      <c r="F76" s="287"/>
      <c r="G76" s="383"/>
    </row>
    <row r="77" spans="1:7" s="380" customFormat="1">
      <c r="A77" s="292" t="s">
        <v>34</v>
      </c>
      <c r="B77" s="286">
        <f>'Sources and Uses Budget'!$C76</f>
        <v>218299</v>
      </c>
      <c r="C77" s="286">
        <f>'Sources and Uses Budget'!$C76</f>
        <v>218299</v>
      </c>
      <c r="D77" s="290">
        <f t="shared" si="0"/>
        <v>0</v>
      </c>
      <c r="E77" s="288"/>
      <c r="F77" s="287"/>
      <c r="G77" s="383"/>
    </row>
    <row r="78" spans="1:7" s="380" customFormat="1">
      <c r="A78" s="291" t="s">
        <v>614</v>
      </c>
      <c r="B78" s="290">
        <f>SUM(B73:B77)</f>
        <v>896867</v>
      </c>
      <c r="C78" s="290">
        <f>SUM(C73:C77)</f>
        <v>896867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1886319</v>
      </c>
      <c r="C80" s="286">
        <f>'Sources and Uses Budget'!$C79</f>
        <v>1886319</v>
      </c>
      <c r="D80" s="290">
        <f t="shared" si="1"/>
        <v>0</v>
      </c>
      <c r="E80" s="288"/>
      <c r="F80" s="287"/>
      <c r="G80" s="383"/>
    </row>
    <row r="81" spans="1:7" s="380" customFormat="1">
      <c r="A81" s="544" t="s">
        <v>58</v>
      </c>
      <c r="B81" s="286">
        <f>'Sources and Uses Budget'!$C80</f>
        <v>388000</v>
      </c>
      <c r="C81" s="286">
        <f>'Sources and Uses Budget'!$C80</f>
        <v>388000</v>
      </c>
      <c r="D81" s="290">
        <f>C81-B81</f>
        <v>0</v>
      </c>
      <c r="E81" s="288"/>
      <c r="F81" s="287"/>
      <c r="G81" s="383"/>
    </row>
    <row r="82" spans="1:7" s="380" customFormat="1">
      <c r="A82" s="291" t="s">
        <v>1315</v>
      </c>
      <c r="B82" s="290">
        <f>SUM(B80:B81)</f>
        <v>2274319</v>
      </c>
      <c r="C82" s="290">
        <f>SUM(C80:C81)</f>
        <v>2274319</v>
      </c>
      <c r="D82" s="290">
        <f t="shared" si="1"/>
        <v>0</v>
      </c>
      <c r="E82" s="288"/>
      <c r="F82" s="287"/>
      <c r="G82" s="383"/>
    </row>
    <row r="83" spans="1:7" s="380" customFormat="1">
      <c r="A83" s="284" t="s">
        <v>774</v>
      </c>
      <c r="B83" s="284"/>
      <c r="C83" s="284"/>
      <c r="D83" s="284"/>
      <c r="E83" s="303"/>
      <c r="F83" s="284"/>
      <c r="G83" s="383"/>
    </row>
    <row r="84" spans="1:7" s="380" customFormat="1" ht="13.9" customHeight="1">
      <c r="A84" s="289" t="s">
        <v>775</v>
      </c>
      <c r="B84" s="286">
        <f>'Sources and Uses Budget'!$C83</f>
        <v>89565</v>
      </c>
      <c r="C84" s="286">
        <f>'Sources and Uses Budget'!$C83</f>
        <v>89565</v>
      </c>
      <c r="D84" s="290">
        <f t="shared" si="1"/>
        <v>0</v>
      </c>
      <c r="E84" s="288"/>
      <c r="F84" s="287"/>
      <c r="G84" s="383"/>
    </row>
    <row r="85" spans="1:7" s="380" customFormat="1">
      <c r="A85" s="289" t="s">
        <v>776</v>
      </c>
      <c r="B85" s="286">
        <f>'Sources and Uses Budget'!$C84</f>
        <v>15225</v>
      </c>
      <c r="C85" s="286">
        <f>'Sources and Uses Budget'!$C84</f>
        <v>15225</v>
      </c>
      <c r="D85" s="290">
        <f t="shared" si="1"/>
        <v>0</v>
      </c>
      <c r="E85" s="288"/>
      <c r="F85" s="287"/>
      <c r="G85" s="383"/>
    </row>
    <row r="86" spans="1:7" s="380" customFormat="1">
      <c r="A86" s="289" t="s">
        <v>777</v>
      </c>
      <c r="B86" s="286">
        <f>'Sources and Uses Budget'!$C85</f>
        <v>1780802</v>
      </c>
      <c r="C86" s="286">
        <f>'Sources and Uses Budget'!$C85</f>
        <v>1780802</v>
      </c>
      <c r="D86" s="290">
        <f t="shared" si="1"/>
        <v>0</v>
      </c>
      <c r="E86" s="288"/>
      <c r="F86" s="287"/>
      <c r="G86" s="383"/>
    </row>
    <row r="87" spans="1:7" s="380" customFormat="1">
      <c r="A87" s="289" t="s">
        <v>778</v>
      </c>
      <c r="B87" s="286">
        <f>'Sources and Uses Budget'!$C86</f>
        <v>1034133</v>
      </c>
      <c r="C87" s="286">
        <f>'Sources and Uses Budget'!$C86</f>
        <v>1034133</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66316</v>
      </c>
      <c r="C89" s="286">
        <f>'Sources and Uses Budget'!$C88</f>
        <v>66316</v>
      </c>
      <c r="D89" s="290">
        <f t="shared" si="1"/>
        <v>0</v>
      </c>
      <c r="E89" s="288"/>
      <c r="F89" s="287"/>
      <c r="G89" s="383"/>
    </row>
    <row r="90" spans="1:7" s="380" customFormat="1">
      <c r="A90" s="289" t="s">
        <v>781</v>
      </c>
      <c r="B90" s="286">
        <f>'Sources and Uses Budget'!$C89</f>
        <v>157500</v>
      </c>
      <c r="C90" s="286">
        <f>'Sources and Uses Budget'!$C89</f>
        <v>157500</v>
      </c>
      <c r="D90" s="290">
        <f t="shared" si="1"/>
        <v>0</v>
      </c>
      <c r="E90" s="288"/>
      <c r="F90" s="287"/>
      <c r="G90" s="383"/>
    </row>
    <row r="91" spans="1:7" s="380" customFormat="1">
      <c r="A91" s="289" t="s">
        <v>782</v>
      </c>
      <c r="B91" s="286">
        <f>'Sources and Uses Budget'!$C90</f>
        <v>16579</v>
      </c>
      <c r="C91" s="286">
        <f>'Sources and Uses Budget'!$C90</f>
        <v>16579</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6500</v>
      </c>
      <c r="C93" s="286">
        <f>'Sources and Uses Budget'!$C92</f>
        <v>6500</v>
      </c>
      <c r="D93" s="290">
        <f t="shared" si="1"/>
        <v>0</v>
      </c>
      <c r="E93" s="288"/>
      <c r="F93" s="287"/>
      <c r="G93" s="383"/>
    </row>
    <row r="94" spans="1:7" s="380" customFormat="1">
      <c r="A94" s="292" t="s">
        <v>34</v>
      </c>
      <c r="B94" s="286">
        <f>'Sources and Uses Budget'!$C93</f>
        <v>72160</v>
      </c>
      <c r="C94" s="286">
        <f>'Sources and Uses Budget'!$C93</f>
        <v>72160</v>
      </c>
      <c r="D94" s="290">
        <f t="shared" si="1"/>
        <v>0</v>
      </c>
      <c r="E94" s="288"/>
      <c r="F94" s="287"/>
      <c r="G94" s="383"/>
    </row>
    <row r="95" spans="1:7" s="380" customFormat="1">
      <c r="A95" s="292" t="s">
        <v>34</v>
      </c>
      <c r="B95" s="286">
        <f>'Sources and Uses Budget'!$C94</f>
        <v>128500</v>
      </c>
      <c r="C95" s="286">
        <f>'Sources and Uses Budget'!$C94</f>
        <v>128500</v>
      </c>
      <c r="D95" s="290">
        <f t="shared" si="1"/>
        <v>0</v>
      </c>
      <c r="E95" s="288"/>
      <c r="F95" s="287"/>
      <c r="G95" s="383"/>
    </row>
    <row r="96" spans="1:7" s="380" customFormat="1">
      <c r="A96" s="292" t="s">
        <v>34</v>
      </c>
      <c r="B96" s="286">
        <f>'Sources and Uses Budget'!$C95</f>
        <v>17025</v>
      </c>
      <c r="C96" s="286">
        <f>'Sources and Uses Budget'!$C95</f>
        <v>17025</v>
      </c>
      <c r="D96" s="290">
        <f t="shared" si="1"/>
        <v>0</v>
      </c>
      <c r="E96" s="288"/>
      <c r="F96" s="287"/>
      <c r="G96" s="383"/>
    </row>
    <row r="97" spans="1:7" s="380" customFormat="1">
      <c r="A97" s="291" t="s">
        <v>783</v>
      </c>
      <c r="B97" s="290">
        <f>SUM(B84:B96)</f>
        <v>3384305</v>
      </c>
      <c r="C97" s="290">
        <f>SUM(C84:C96)</f>
        <v>3384305</v>
      </c>
      <c r="D97" s="290">
        <f t="shared" si="1"/>
        <v>0</v>
      </c>
      <c r="E97" s="288"/>
      <c r="F97" s="287"/>
      <c r="G97" s="383"/>
    </row>
    <row r="98" spans="1:7" s="380" customFormat="1">
      <c r="A98" s="291" t="s">
        <v>784</v>
      </c>
      <c r="B98" s="290">
        <f>SUM(B64+B71+B78+B82+B97)</f>
        <v>54267303</v>
      </c>
      <c r="C98" s="290">
        <f>SUM(C64+C71+C78+C82+C97)</f>
        <v>54267303</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7346020</v>
      </c>
      <c r="C100" s="286">
        <f>'Sources and Uses Budget'!$C99</f>
        <v>7346020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7346020</v>
      </c>
      <c r="C105" s="290">
        <f>SUM(C100:C104)</f>
        <v>7346020</v>
      </c>
      <c r="D105" s="290">
        <f t="shared" si="1"/>
        <v>0</v>
      </c>
      <c r="E105" s="288"/>
      <c r="F105" s="287"/>
      <c r="G105" s="383"/>
    </row>
    <row r="106" spans="1:7" s="380" customFormat="1">
      <c r="A106" s="291" t="s">
        <v>789</v>
      </c>
      <c r="B106" s="293">
        <f>SUM(B98+B105)</f>
        <v>61613323</v>
      </c>
      <c r="C106" s="293">
        <f>SUM(C98+C105)</f>
        <v>61613323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6" workbookViewId="0">
      <selection activeCell="G99" sqref="G99"/>
    </sheetView>
  </sheetViews>
  <sheetFormatPr defaultColWidth="0" defaultRowHeight="12" zeroHeight="1"/>
  <cols>
    <col min="1" max="1" width="32.7109375" style="428" customWidth="1"/>
    <col min="2" max="3" width="12.140625" style="424" customWidth="1"/>
    <col min="4" max="6" width="12.7109375" style="424" customWidth="1"/>
    <col min="7" max="9" width="12.140625" style="424" customWidth="1"/>
    <col min="10" max="10" width="12.140625" style="425" customWidth="1"/>
    <col min="11" max="11" width="8.7109375" style="426" hidden="1" customWidth="1"/>
    <col min="12" max="21" width="8.7109375" style="424" hidden="1" customWidth="1"/>
    <col min="22" max="23" width="0" style="424" hidden="1"/>
    <col min="24" max="256" width="8.7109375" style="424" hidden="1"/>
    <col min="257" max="257" width="32.7109375" style="424" hidden="1" customWidth="1"/>
    <col min="258" max="259" width="12.140625" style="424" hidden="1" customWidth="1"/>
    <col min="260" max="260" width="12.7109375" style="424" hidden="1" customWidth="1"/>
    <col min="261" max="266" width="12.140625" style="424" hidden="1" customWidth="1"/>
    <col min="267" max="277" width="8.7109375" style="424" hidden="1" customWidth="1"/>
    <col min="278" max="512" width="8.7109375" style="424" hidden="1"/>
    <col min="513" max="513" width="32.7109375" style="424" hidden="1" customWidth="1"/>
    <col min="514" max="515" width="12.140625" style="424" hidden="1" customWidth="1"/>
    <col min="516" max="516" width="12.7109375" style="424" hidden="1" customWidth="1"/>
    <col min="517" max="522" width="12.140625" style="424" hidden="1" customWidth="1"/>
    <col min="523" max="533" width="8.7109375" style="424" hidden="1" customWidth="1"/>
    <col min="534" max="768" width="8.7109375" style="424" hidden="1"/>
    <col min="769" max="769" width="32.7109375" style="424" hidden="1" customWidth="1"/>
    <col min="770" max="771" width="12.140625" style="424" hidden="1" customWidth="1"/>
    <col min="772" max="772" width="12.7109375" style="424" hidden="1" customWidth="1"/>
    <col min="773" max="778" width="12.140625" style="424" hidden="1" customWidth="1"/>
    <col min="779" max="789" width="8.7109375" style="424" hidden="1" customWidth="1"/>
    <col min="790" max="1024" width="8.7109375" style="424" hidden="1"/>
    <col min="1025" max="1025" width="32.7109375" style="424" hidden="1" customWidth="1"/>
    <col min="1026" max="1027" width="12.140625" style="424" hidden="1" customWidth="1"/>
    <col min="1028" max="1028" width="12.7109375" style="424" hidden="1" customWidth="1"/>
    <col min="1029" max="1034" width="12.140625" style="424" hidden="1" customWidth="1"/>
    <col min="1035" max="1045" width="8.7109375" style="424" hidden="1" customWidth="1"/>
    <col min="1046" max="1280" width="8.7109375" style="424" hidden="1"/>
    <col min="1281" max="1281" width="32.7109375" style="424" hidden="1" customWidth="1"/>
    <col min="1282" max="1283" width="12.140625" style="424" hidden="1" customWidth="1"/>
    <col min="1284" max="1284" width="12.7109375" style="424" hidden="1" customWidth="1"/>
    <col min="1285" max="1290" width="12.140625" style="424" hidden="1" customWidth="1"/>
    <col min="1291" max="1301" width="8.7109375" style="424" hidden="1" customWidth="1"/>
    <col min="1302" max="1536" width="8.7109375" style="424" hidden="1"/>
    <col min="1537" max="1537" width="32.7109375" style="424" hidden="1" customWidth="1"/>
    <col min="1538" max="1539" width="12.140625" style="424" hidden="1" customWidth="1"/>
    <col min="1540" max="1540" width="12.7109375" style="424" hidden="1" customWidth="1"/>
    <col min="1541" max="1546" width="12.140625" style="424" hidden="1" customWidth="1"/>
    <col min="1547" max="1557" width="8.7109375" style="424" hidden="1" customWidth="1"/>
    <col min="1558" max="1792" width="8.7109375" style="424" hidden="1"/>
    <col min="1793" max="1793" width="32.7109375" style="424" hidden="1" customWidth="1"/>
    <col min="1794" max="1795" width="12.140625" style="424" hidden="1" customWidth="1"/>
    <col min="1796" max="1796" width="12.7109375" style="424" hidden="1" customWidth="1"/>
    <col min="1797" max="1802" width="12.140625" style="424" hidden="1" customWidth="1"/>
    <col min="1803" max="1813" width="8.7109375" style="424" hidden="1" customWidth="1"/>
    <col min="1814" max="2048" width="8.7109375" style="424" hidden="1"/>
    <col min="2049" max="2049" width="32.7109375" style="424" hidden="1" customWidth="1"/>
    <col min="2050" max="2051" width="12.140625" style="424" hidden="1" customWidth="1"/>
    <col min="2052" max="2052" width="12.7109375" style="424" hidden="1" customWidth="1"/>
    <col min="2053" max="2058" width="12.140625" style="424" hidden="1" customWidth="1"/>
    <col min="2059" max="2069" width="8.7109375" style="424" hidden="1" customWidth="1"/>
    <col min="2070" max="2304" width="8.7109375" style="424" hidden="1"/>
    <col min="2305" max="2305" width="32.7109375" style="424" hidden="1" customWidth="1"/>
    <col min="2306" max="2307" width="12.140625" style="424" hidden="1" customWidth="1"/>
    <col min="2308" max="2308" width="12.7109375" style="424" hidden="1" customWidth="1"/>
    <col min="2309" max="2314" width="12.140625" style="424" hidden="1" customWidth="1"/>
    <col min="2315" max="2325" width="8.7109375" style="424" hidden="1" customWidth="1"/>
    <col min="2326" max="2560" width="8.7109375" style="424" hidden="1"/>
    <col min="2561" max="2561" width="32.7109375" style="424" hidden="1" customWidth="1"/>
    <col min="2562" max="2563" width="12.140625" style="424" hidden="1" customWidth="1"/>
    <col min="2564" max="2564" width="12.7109375" style="424" hidden="1" customWidth="1"/>
    <col min="2565" max="2570" width="12.140625" style="424" hidden="1" customWidth="1"/>
    <col min="2571" max="2581" width="8.7109375" style="424" hidden="1" customWidth="1"/>
    <col min="2582" max="2816" width="8.7109375" style="424" hidden="1"/>
    <col min="2817" max="2817" width="32.7109375" style="424" hidden="1" customWidth="1"/>
    <col min="2818" max="2819" width="12.140625" style="424" hidden="1" customWidth="1"/>
    <col min="2820" max="2820" width="12.7109375" style="424" hidden="1" customWidth="1"/>
    <col min="2821" max="2826" width="12.140625" style="424" hidden="1" customWidth="1"/>
    <col min="2827" max="2837" width="8.7109375" style="424" hidden="1" customWidth="1"/>
    <col min="2838" max="3072" width="8.7109375" style="424" hidden="1"/>
    <col min="3073" max="3073" width="32.7109375" style="424" hidden="1" customWidth="1"/>
    <col min="3074" max="3075" width="12.140625" style="424" hidden="1" customWidth="1"/>
    <col min="3076" max="3076" width="12.7109375" style="424" hidden="1" customWidth="1"/>
    <col min="3077" max="3082" width="12.140625" style="424" hidden="1" customWidth="1"/>
    <col min="3083" max="3093" width="8.7109375" style="424" hidden="1" customWidth="1"/>
    <col min="3094" max="3328" width="8.7109375" style="424" hidden="1"/>
    <col min="3329" max="3329" width="32.7109375" style="424" hidden="1" customWidth="1"/>
    <col min="3330" max="3331" width="12.140625" style="424" hidden="1" customWidth="1"/>
    <col min="3332" max="3332" width="12.7109375" style="424" hidden="1" customWidth="1"/>
    <col min="3333" max="3338" width="12.140625" style="424" hidden="1" customWidth="1"/>
    <col min="3339" max="3349" width="8.7109375" style="424" hidden="1" customWidth="1"/>
    <col min="3350" max="3584" width="8.7109375" style="424" hidden="1"/>
    <col min="3585" max="3585" width="32.7109375" style="424" hidden="1" customWidth="1"/>
    <col min="3586" max="3587" width="12.140625" style="424" hidden="1" customWidth="1"/>
    <col min="3588" max="3588" width="12.7109375" style="424" hidden="1" customWidth="1"/>
    <col min="3589" max="3594" width="12.140625" style="424" hidden="1" customWidth="1"/>
    <col min="3595" max="3605" width="8.7109375" style="424" hidden="1" customWidth="1"/>
    <col min="3606" max="3840" width="8.7109375" style="424" hidden="1"/>
    <col min="3841" max="3841" width="32.7109375" style="424" hidden="1" customWidth="1"/>
    <col min="3842" max="3843" width="12.140625" style="424" hidden="1" customWidth="1"/>
    <col min="3844" max="3844" width="12.7109375" style="424" hidden="1" customWidth="1"/>
    <col min="3845" max="3850" width="12.140625" style="424" hidden="1" customWidth="1"/>
    <col min="3851" max="3861" width="8.7109375" style="424" hidden="1" customWidth="1"/>
    <col min="3862" max="4096" width="8.7109375" style="424" hidden="1"/>
    <col min="4097" max="4097" width="32.7109375" style="424" hidden="1" customWidth="1"/>
    <col min="4098" max="4099" width="12.140625" style="424" hidden="1" customWidth="1"/>
    <col min="4100" max="4100" width="12.7109375" style="424" hidden="1" customWidth="1"/>
    <col min="4101" max="4106" width="12.140625" style="424" hidden="1" customWidth="1"/>
    <col min="4107" max="4117" width="8.7109375" style="424" hidden="1" customWidth="1"/>
    <col min="4118" max="4352" width="8.7109375" style="424" hidden="1"/>
    <col min="4353" max="4353" width="32.7109375" style="424" hidden="1" customWidth="1"/>
    <col min="4354" max="4355" width="12.140625" style="424" hidden="1" customWidth="1"/>
    <col min="4356" max="4356" width="12.7109375" style="424" hidden="1" customWidth="1"/>
    <col min="4357" max="4362" width="12.140625" style="424" hidden="1" customWidth="1"/>
    <col min="4363" max="4373" width="8.7109375" style="424" hidden="1" customWidth="1"/>
    <col min="4374" max="4608" width="8.7109375" style="424" hidden="1"/>
    <col min="4609" max="4609" width="32.7109375" style="424" hidden="1" customWidth="1"/>
    <col min="4610" max="4611" width="12.140625" style="424" hidden="1" customWidth="1"/>
    <col min="4612" max="4612" width="12.7109375" style="424" hidden="1" customWidth="1"/>
    <col min="4613" max="4618" width="12.140625" style="424" hidden="1" customWidth="1"/>
    <col min="4619" max="4629" width="8.7109375" style="424" hidden="1" customWidth="1"/>
    <col min="4630" max="4864" width="8.7109375" style="424" hidden="1"/>
    <col min="4865" max="4865" width="32.7109375" style="424" hidden="1" customWidth="1"/>
    <col min="4866" max="4867" width="12.140625" style="424" hidden="1" customWidth="1"/>
    <col min="4868" max="4868" width="12.7109375" style="424" hidden="1" customWidth="1"/>
    <col min="4869" max="4874" width="12.140625" style="424" hidden="1" customWidth="1"/>
    <col min="4875" max="4885" width="8.7109375" style="424" hidden="1" customWidth="1"/>
    <col min="4886" max="5120" width="8.7109375" style="424" hidden="1"/>
    <col min="5121" max="5121" width="32.7109375" style="424" hidden="1" customWidth="1"/>
    <col min="5122" max="5123" width="12.140625" style="424" hidden="1" customWidth="1"/>
    <col min="5124" max="5124" width="12.7109375" style="424" hidden="1" customWidth="1"/>
    <col min="5125" max="5130" width="12.140625" style="424" hidden="1" customWidth="1"/>
    <col min="5131" max="5141" width="8.7109375" style="424" hidden="1" customWidth="1"/>
    <col min="5142" max="5376" width="8.7109375" style="424" hidden="1"/>
    <col min="5377" max="5377" width="32.7109375" style="424" hidden="1" customWidth="1"/>
    <col min="5378" max="5379" width="12.140625" style="424" hidden="1" customWidth="1"/>
    <col min="5380" max="5380" width="12.7109375" style="424" hidden="1" customWidth="1"/>
    <col min="5381" max="5386" width="12.140625" style="424" hidden="1" customWidth="1"/>
    <col min="5387" max="5397" width="8.7109375" style="424" hidden="1" customWidth="1"/>
    <col min="5398" max="5632" width="8.7109375" style="424" hidden="1"/>
    <col min="5633" max="5633" width="32.7109375" style="424" hidden="1" customWidth="1"/>
    <col min="5634" max="5635" width="12.140625" style="424" hidden="1" customWidth="1"/>
    <col min="5636" max="5636" width="12.7109375" style="424" hidden="1" customWidth="1"/>
    <col min="5637" max="5642" width="12.140625" style="424" hidden="1" customWidth="1"/>
    <col min="5643" max="5653" width="8.7109375" style="424" hidden="1" customWidth="1"/>
    <col min="5654" max="5888" width="8.7109375" style="424" hidden="1"/>
    <col min="5889" max="5889" width="32.7109375" style="424" hidden="1" customWidth="1"/>
    <col min="5890" max="5891" width="12.140625" style="424" hidden="1" customWidth="1"/>
    <col min="5892" max="5892" width="12.7109375" style="424" hidden="1" customWidth="1"/>
    <col min="5893" max="5898" width="12.140625" style="424" hidden="1" customWidth="1"/>
    <col min="5899" max="5909" width="8.7109375" style="424" hidden="1" customWidth="1"/>
    <col min="5910" max="6144" width="8.7109375" style="424" hidden="1"/>
    <col min="6145" max="6145" width="32.7109375" style="424" hidden="1" customWidth="1"/>
    <col min="6146" max="6147" width="12.140625" style="424" hidden="1" customWidth="1"/>
    <col min="6148" max="6148" width="12.7109375" style="424" hidden="1" customWidth="1"/>
    <col min="6149" max="6154" width="12.140625" style="424" hidden="1" customWidth="1"/>
    <col min="6155" max="6165" width="8.7109375" style="424" hidden="1" customWidth="1"/>
    <col min="6166" max="6400" width="8.7109375" style="424" hidden="1"/>
    <col min="6401" max="6401" width="32.7109375" style="424" hidden="1" customWidth="1"/>
    <col min="6402" max="6403" width="12.140625" style="424" hidden="1" customWidth="1"/>
    <col min="6404" max="6404" width="12.7109375" style="424" hidden="1" customWidth="1"/>
    <col min="6405" max="6410" width="12.140625" style="424" hidden="1" customWidth="1"/>
    <col min="6411" max="6421" width="8.7109375" style="424" hidden="1" customWidth="1"/>
    <col min="6422" max="6656" width="8.7109375" style="424" hidden="1"/>
    <col min="6657" max="6657" width="32.7109375" style="424" hidden="1" customWidth="1"/>
    <col min="6658" max="6659" width="12.140625" style="424" hidden="1" customWidth="1"/>
    <col min="6660" max="6660" width="12.7109375" style="424" hidden="1" customWidth="1"/>
    <col min="6661" max="6666" width="12.140625" style="424" hidden="1" customWidth="1"/>
    <col min="6667" max="6677" width="8.7109375" style="424" hidden="1" customWidth="1"/>
    <col min="6678" max="6912" width="8.7109375" style="424" hidden="1"/>
    <col min="6913" max="6913" width="32.7109375" style="424" hidden="1" customWidth="1"/>
    <col min="6914" max="6915" width="12.140625" style="424" hidden="1" customWidth="1"/>
    <col min="6916" max="6916" width="12.7109375" style="424" hidden="1" customWidth="1"/>
    <col min="6917" max="6922" width="12.140625" style="424" hidden="1" customWidth="1"/>
    <col min="6923" max="6933" width="8.7109375" style="424" hidden="1" customWidth="1"/>
    <col min="6934" max="7168" width="8.7109375" style="424" hidden="1"/>
    <col min="7169" max="7169" width="32.7109375" style="424" hidden="1" customWidth="1"/>
    <col min="7170" max="7171" width="12.140625" style="424" hidden="1" customWidth="1"/>
    <col min="7172" max="7172" width="12.7109375" style="424" hidden="1" customWidth="1"/>
    <col min="7173" max="7178" width="12.140625" style="424" hidden="1" customWidth="1"/>
    <col min="7179" max="7189" width="8.7109375" style="424" hidden="1" customWidth="1"/>
    <col min="7190" max="7424" width="8.7109375" style="424" hidden="1"/>
    <col min="7425" max="7425" width="32.7109375" style="424" hidden="1" customWidth="1"/>
    <col min="7426" max="7427" width="12.140625" style="424" hidden="1" customWidth="1"/>
    <col min="7428" max="7428" width="12.7109375" style="424" hidden="1" customWidth="1"/>
    <col min="7429" max="7434" width="12.140625" style="424" hidden="1" customWidth="1"/>
    <col min="7435" max="7445" width="8.7109375" style="424" hidden="1" customWidth="1"/>
    <col min="7446" max="7680" width="8.7109375" style="424" hidden="1"/>
    <col min="7681" max="7681" width="32.7109375" style="424" hidden="1" customWidth="1"/>
    <col min="7682" max="7683" width="12.140625" style="424" hidden="1" customWidth="1"/>
    <col min="7684" max="7684" width="12.7109375" style="424" hidden="1" customWidth="1"/>
    <col min="7685" max="7690" width="12.140625" style="424" hidden="1" customWidth="1"/>
    <col min="7691" max="7701" width="8.7109375" style="424" hidden="1" customWidth="1"/>
    <col min="7702" max="7936" width="8.7109375" style="424" hidden="1"/>
    <col min="7937" max="7937" width="32.7109375" style="424" hidden="1" customWidth="1"/>
    <col min="7938" max="7939" width="12.140625" style="424" hidden="1" customWidth="1"/>
    <col min="7940" max="7940" width="12.7109375" style="424" hidden="1" customWidth="1"/>
    <col min="7941" max="7946" width="12.140625" style="424" hidden="1" customWidth="1"/>
    <col min="7947" max="7957" width="8.7109375" style="424" hidden="1" customWidth="1"/>
    <col min="7958" max="8192" width="8.7109375" style="424" hidden="1"/>
    <col min="8193" max="8193" width="32.7109375" style="424" hidden="1" customWidth="1"/>
    <col min="8194" max="8195" width="12.140625" style="424" hidden="1" customWidth="1"/>
    <col min="8196" max="8196" width="12.7109375" style="424" hidden="1" customWidth="1"/>
    <col min="8197" max="8202" width="12.140625" style="424" hidden="1" customWidth="1"/>
    <col min="8203" max="8213" width="8.7109375" style="424" hidden="1" customWidth="1"/>
    <col min="8214" max="8448" width="8.7109375" style="424" hidden="1"/>
    <col min="8449" max="8449" width="32.7109375" style="424" hidden="1" customWidth="1"/>
    <col min="8450" max="8451" width="12.140625" style="424" hidden="1" customWidth="1"/>
    <col min="8452" max="8452" width="12.7109375" style="424" hidden="1" customWidth="1"/>
    <col min="8453" max="8458" width="12.140625" style="424" hidden="1" customWidth="1"/>
    <col min="8459" max="8469" width="8.7109375" style="424" hidden="1" customWidth="1"/>
    <col min="8470" max="8704" width="8.7109375" style="424" hidden="1"/>
    <col min="8705" max="8705" width="32.7109375" style="424" hidden="1" customWidth="1"/>
    <col min="8706" max="8707" width="12.140625" style="424" hidden="1" customWidth="1"/>
    <col min="8708" max="8708" width="12.7109375" style="424" hidden="1" customWidth="1"/>
    <col min="8709" max="8714" width="12.140625" style="424" hidden="1" customWidth="1"/>
    <col min="8715" max="8725" width="8.7109375" style="424" hidden="1" customWidth="1"/>
    <col min="8726" max="8960" width="8.7109375" style="424" hidden="1"/>
    <col min="8961" max="8961" width="32.7109375" style="424" hidden="1" customWidth="1"/>
    <col min="8962" max="8963" width="12.140625" style="424" hidden="1" customWidth="1"/>
    <col min="8964" max="8964" width="12.7109375" style="424" hidden="1" customWidth="1"/>
    <col min="8965" max="8970" width="12.140625" style="424" hidden="1" customWidth="1"/>
    <col min="8971" max="8981" width="8.7109375" style="424" hidden="1" customWidth="1"/>
    <col min="8982" max="9216" width="8.7109375" style="424" hidden="1"/>
    <col min="9217" max="9217" width="32.7109375" style="424" hidden="1" customWidth="1"/>
    <col min="9218" max="9219" width="12.140625" style="424" hidden="1" customWidth="1"/>
    <col min="9220" max="9220" width="12.7109375" style="424" hidden="1" customWidth="1"/>
    <col min="9221" max="9226" width="12.140625" style="424" hidden="1" customWidth="1"/>
    <col min="9227" max="9237" width="8.7109375" style="424" hidden="1" customWidth="1"/>
    <col min="9238" max="9472" width="8.7109375" style="424" hidden="1"/>
    <col min="9473" max="9473" width="32.7109375" style="424" hidden="1" customWidth="1"/>
    <col min="9474" max="9475" width="12.140625" style="424" hidden="1" customWidth="1"/>
    <col min="9476" max="9476" width="12.7109375" style="424" hidden="1" customWidth="1"/>
    <col min="9477" max="9482" width="12.140625" style="424" hidden="1" customWidth="1"/>
    <col min="9483" max="9493" width="8.7109375" style="424" hidden="1" customWidth="1"/>
    <col min="9494" max="9728" width="8.7109375" style="424" hidden="1"/>
    <col min="9729" max="9729" width="32.7109375" style="424" hidden="1" customWidth="1"/>
    <col min="9730" max="9731" width="12.140625" style="424" hidden="1" customWidth="1"/>
    <col min="9732" max="9732" width="12.7109375" style="424" hidden="1" customWidth="1"/>
    <col min="9733" max="9738" width="12.140625" style="424" hidden="1" customWidth="1"/>
    <col min="9739" max="9749" width="8.7109375" style="424" hidden="1" customWidth="1"/>
    <col min="9750" max="9984" width="8.7109375" style="424" hidden="1"/>
    <col min="9985" max="9985" width="32.7109375" style="424" hidden="1" customWidth="1"/>
    <col min="9986" max="9987" width="12.140625" style="424" hidden="1" customWidth="1"/>
    <col min="9988" max="9988" width="12.7109375" style="424" hidden="1" customWidth="1"/>
    <col min="9989" max="9994" width="12.140625" style="424" hidden="1" customWidth="1"/>
    <col min="9995" max="10005" width="8.7109375" style="424" hidden="1" customWidth="1"/>
    <col min="10006" max="10240" width="8.7109375" style="424" hidden="1"/>
    <col min="10241" max="10241" width="32.7109375" style="424" hidden="1" customWidth="1"/>
    <col min="10242" max="10243" width="12.140625" style="424" hidden="1" customWidth="1"/>
    <col min="10244" max="10244" width="12.7109375" style="424" hidden="1" customWidth="1"/>
    <col min="10245" max="10250" width="12.140625" style="424" hidden="1" customWidth="1"/>
    <col min="10251" max="10261" width="8.7109375" style="424" hidden="1" customWidth="1"/>
    <col min="10262" max="10496" width="8.7109375" style="424" hidden="1"/>
    <col min="10497" max="10497" width="32.7109375" style="424" hidden="1" customWidth="1"/>
    <col min="10498" max="10499" width="12.140625" style="424" hidden="1" customWidth="1"/>
    <col min="10500" max="10500" width="12.7109375" style="424" hidden="1" customWidth="1"/>
    <col min="10501" max="10506" width="12.140625" style="424" hidden="1" customWidth="1"/>
    <col min="10507" max="10517" width="8.7109375" style="424" hidden="1" customWidth="1"/>
    <col min="10518" max="10752" width="8.7109375" style="424" hidden="1"/>
    <col min="10753" max="10753" width="32.7109375" style="424" hidden="1" customWidth="1"/>
    <col min="10754" max="10755" width="12.140625" style="424" hidden="1" customWidth="1"/>
    <col min="10756" max="10756" width="12.7109375" style="424" hidden="1" customWidth="1"/>
    <col min="10757" max="10762" width="12.140625" style="424" hidden="1" customWidth="1"/>
    <col min="10763" max="10773" width="8.7109375" style="424" hidden="1" customWidth="1"/>
    <col min="10774" max="11008" width="8.7109375" style="424" hidden="1"/>
    <col min="11009" max="11009" width="32.7109375" style="424" hidden="1" customWidth="1"/>
    <col min="11010" max="11011" width="12.140625" style="424" hidden="1" customWidth="1"/>
    <col min="11012" max="11012" width="12.7109375" style="424" hidden="1" customWidth="1"/>
    <col min="11013" max="11018" width="12.140625" style="424" hidden="1" customWidth="1"/>
    <col min="11019" max="11029" width="8.7109375" style="424" hidden="1" customWidth="1"/>
    <col min="11030" max="11264" width="8.7109375" style="424" hidden="1"/>
    <col min="11265" max="11265" width="32.7109375" style="424" hidden="1" customWidth="1"/>
    <col min="11266" max="11267" width="12.140625" style="424" hidden="1" customWidth="1"/>
    <col min="11268" max="11268" width="12.7109375" style="424" hidden="1" customWidth="1"/>
    <col min="11269" max="11274" width="12.140625" style="424" hidden="1" customWidth="1"/>
    <col min="11275" max="11285" width="8.7109375" style="424" hidden="1" customWidth="1"/>
    <col min="11286" max="11520" width="8.7109375" style="424" hidden="1"/>
    <col min="11521" max="11521" width="32.7109375" style="424" hidden="1" customWidth="1"/>
    <col min="11522" max="11523" width="12.140625" style="424" hidden="1" customWidth="1"/>
    <col min="11524" max="11524" width="12.7109375" style="424" hidden="1" customWidth="1"/>
    <col min="11525" max="11530" width="12.140625" style="424" hidden="1" customWidth="1"/>
    <col min="11531" max="11541" width="8.7109375" style="424" hidden="1" customWidth="1"/>
    <col min="11542" max="11776" width="8.7109375" style="424" hidden="1"/>
    <col min="11777" max="11777" width="32.7109375" style="424" hidden="1" customWidth="1"/>
    <col min="11778" max="11779" width="12.140625" style="424" hidden="1" customWidth="1"/>
    <col min="11780" max="11780" width="12.7109375" style="424" hidden="1" customWidth="1"/>
    <col min="11781" max="11786" width="12.140625" style="424" hidden="1" customWidth="1"/>
    <col min="11787" max="11797" width="8.7109375" style="424" hidden="1" customWidth="1"/>
    <col min="11798" max="12032" width="8.7109375" style="424" hidden="1"/>
    <col min="12033" max="12033" width="32.7109375" style="424" hidden="1" customWidth="1"/>
    <col min="12034" max="12035" width="12.140625" style="424" hidden="1" customWidth="1"/>
    <col min="12036" max="12036" width="12.7109375" style="424" hidden="1" customWidth="1"/>
    <col min="12037" max="12042" width="12.140625" style="424" hidden="1" customWidth="1"/>
    <col min="12043" max="12053" width="8.7109375" style="424" hidden="1" customWidth="1"/>
    <col min="12054" max="12288" width="8.7109375" style="424" hidden="1"/>
    <col min="12289" max="12289" width="32.7109375" style="424" hidden="1" customWidth="1"/>
    <col min="12290" max="12291" width="12.140625" style="424" hidden="1" customWidth="1"/>
    <col min="12292" max="12292" width="12.7109375" style="424" hidden="1" customWidth="1"/>
    <col min="12293" max="12298" width="12.140625" style="424" hidden="1" customWidth="1"/>
    <col min="12299" max="12309" width="8.7109375" style="424" hidden="1" customWidth="1"/>
    <col min="12310" max="12544" width="8.7109375" style="424" hidden="1"/>
    <col min="12545" max="12545" width="32.7109375" style="424" hidden="1" customWidth="1"/>
    <col min="12546" max="12547" width="12.140625" style="424" hidden="1" customWidth="1"/>
    <col min="12548" max="12548" width="12.7109375" style="424" hidden="1" customWidth="1"/>
    <col min="12549" max="12554" width="12.140625" style="424" hidden="1" customWidth="1"/>
    <col min="12555" max="12565" width="8.7109375" style="424" hidden="1" customWidth="1"/>
    <col min="12566" max="12800" width="8.7109375" style="424" hidden="1"/>
    <col min="12801" max="12801" width="32.7109375" style="424" hidden="1" customWidth="1"/>
    <col min="12802" max="12803" width="12.140625" style="424" hidden="1" customWidth="1"/>
    <col min="12804" max="12804" width="12.7109375" style="424" hidden="1" customWidth="1"/>
    <col min="12805" max="12810" width="12.140625" style="424" hidden="1" customWidth="1"/>
    <col min="12811" max="12821" width="8.7109375" style="424" hidden="1" customWidth="1"/>
    <col min="12822" max="13056" width="8.7109375" style="424" hidden="1"/>
    <col min="13057" max="13057" width="32.7109375" style="424" hidden="1" customWidth="1"/>
    <col min="13058" max="13059" width="12.140625" style="424" hidden="1" customWidth="1"/>
    <col min="13060" max="13060" width="12.7109375" style="424" hidden="1" customWidth="1"/>
    <col min="13061" max="13066" width="12.140625" style="424" hidden="1" customWidth="1"/>
    <col min="13067" max="13077" width="8.7109375" style="424" hidden="1" customWidth="1"/>
    <col min="13078" max="13312" width="8.7109375" style="424" hidden="1"/>
    <col min="13313" max="13313" width="32.7109375" style="424" hidden="1" customWidth="1"/>
    <col min="13314" max="13315" width="12.140625" style="424" hidden="1" customWidth="1"/>
    <col min="13316" max="13316" width="12.7109375" style="424" hidden="1" customWidth="1"/>
    <col min="13317" max="13322" width="12.140625" style="424" hidden="1" customWidth="1"/>
    <col min="13323" max="13333" width="8.7109375" style="424" hidden="1" customWidth="1"/>
    <col min="13334" max="13568" width="8.7109375" style="424" hidden="1"/>
    <col min="13569" max="13569" width="32.7109375" style="424" hidden="1" customWidth="1"/>
    <col min="13570" max="13571" width="12.140625" style="424" hidden="1" customWidth="1"/>
    <col min="13572" max="13572" width="12.7109375" style="424" hidden="1" customWidth="1"/>
    <col min="13573" max="13578" width="12.140625" style="424" hidden="1" customWidth="1"/>
    <col min="13579" max="13589" width="8.7109375" style="424" hidden="1" customWidth="1"/>
    <col min="13590" max="13824" width="8.7109375" style="424" hidden="1"/>
    <col min="13825" max="13825" width="32.7109375" style="424" hidden="1" customWidth="1"/>
    <col min="13826" max="13827" width="12.140625" style="424" hidden="1" customWidth="1"/>
    <col min="13828" max="13828" width="12.7109375" style="424" hidden="1" customWidth="1"/>
    <col min="13829" max="13834" width="12.140625" style="424" hidden="1" customWidth="1"/>
    <col min="13835" max="13845" width="8.7109375" style="424" hidden="1" customWidth="1"/>
    <col min="13846" max="14080" width="8.7109375" style="424" hidden="1"/>
    <col min="14081" max="14081" width="32.7109375" style="424" hidden="1" customWidth="1"/>
    <col min="14082" max="14083" width="12.140625" style="424" hidden="1" customWidth="1"/>
    <col min="14084" max="14084" width="12.7109375" style="424" hidden="1" customWidth="1"/>
    <col min="14085" max="14090" width="12.140625" style="424" hidden="1" customWidth="1"/>
    <col min="14091" max="14101" width="8.7109375" style="424" hidden="1" customWidth="1"/>
    <col min="14102" max="14336" width="8.7109375" style="424" hidden="1"/>
    <col min="14337" max="14337" width="32.7109375" style="424" hidden="1" customWidth="1"/>
    <col min="14338" max="14339" width="12.140625" style="424" hidden="1" customWidth="1"/>
    <col min="14340" max="14340" width="12.7109375" style="424" hidden="1" customWidth="1"/>
    <col min="14341" max="14346" width="12.140625" style="424" hidden="1" customWidth="1"/>
    <col min="14347" max="14357" width="8.7109375" style="424" hidden="1" customWidth="1"/>
    <col min="14358" max="14592" width="8.7109375" style="424" hidden="1"/>
    <col min="14593" max="14593" width="32.7109375" style="424" hidden="1" customWidth="1"/>
    <col min="14594" max="14595" width="12.140625" style="424" hidden="1" customWidth="1"/>
    <col min="14596" max="14596" width="12.7109375" style="424" hidden="1" customWidth="1"/>
    <col min="14597" max="14602" width="12.140625" style="424" hidden="1" customWidth="1"/>
    <col min="14603" max="14613" width="8.7109375" style="424" hidden="1" customWidth="1"/>
    <col min="14614" max="14848" width="8.7109375" style="424" hidden="1"/>
    <col min="14849" max="14849" width="32.7109375" style="424" hidden="1" customWidth="1"/>
    <col min="14850" max="14851" width="12.140625" style="424" hidden="1" customWidth="1"/>
    <col min="14852" max="14852" width="12.7109375" style="424" hidden="1" customWidth="1"/>
    <col min="14853" max="14858" width="12.140625" style="424" hidden="1" customWidth="1"/>
    <col min="14859" max="14869" width="8.7109375" style="424" hidden="1" customWidth="1"/>
    <col min="14870" max="15104" width="8.7109375" style="424" hidden="1"/>
    <col min="15105" max="15105" width="32.7109375" style="424" hidden="1" customWidth="1"/>
    <col min="15106" max="15107" width="12.140625" style="424" hidden="1" customWidth="1"/>
    <col min="15108" max="15108" width="12.7109375" style="424" hidden="1" customWidth="1"/>
    <col min="15109" max="15114" width="12.140625" style="424" hidden="1" customWidth="1"/>
    <col min="15115" max="15125" width="8.7109375" style="424" hidden="1" customWidth="1"/>
    <col min="15126" max="15360" width="8.7109375" style="424" hidden="1"/>
    <col min="15361" max="15361" width="32.7109375" style="424" hidden="1" customWidth="1"/>
    <col min="15362" max="15363" width="12.140625" style="424" hidden="1" customWidth="1"/>
    <col min="15364" max="15364" width="12.7109375" style="424" hidden="1" customWidth="1"/>
    <col min="15365" max="15370" width="12.140625" style="424" hidden="1" customWidth="1"/>
    <col min="15371" max="15381" width="8.7109375" style="424" hidden="1" customWidth="1"/>
    <col min="15382" max="15616" width="8.7109375" style="424" hidden="1"/>
    <col min="15617" max="15617" width="32.7109375" style="424" hidden="1" customWidth="1"/>
    <col min="15618" max="15619" width="12.140625" style="424" hidden="1" customWidth="1"/>
    <col min="15620" max="15620" width="12.7109375" style="424" hidden="1" customWidth="1"/>
    <col min="15621" max="15626" width="12.140625" style="424" hidden="1" customWidth="1"/>
    <col min="15627" max="15637" width="8.7109375" style="424" hidden="1" customWidth="1"/>
    <col min="15638" max="15872" width="8.7109375" style="424" hidden="1"/>
    <col min="15873" max="15873" width="32.7109375" style="424" hidden="1" customWidth="1"/>
    <col min="15874" max="15875" width="12.140625" style="424" hidden="1" customWidth="1"/>
    <col min="15876" max="15876" width="12.7109375" style="424" hidden="1" customWidth="1"/>
    <col min="15877" max="15882" width="12.140625" style="424" hidden="1" customWidth="1"/>
    <col min="15883" max="15893" width="8.7109375" style="424" hidden="1" customWidth="1"/>
    <col min="15894" max="16128" width="8.7109375" style="424" hidden="1"/>
    <col min="16129" max="16129" width="32.7109375" style="424" hidden="1" customWidth="1"/>
    <col min="16130" max="16131" width="12.140625" style="424" hidden="1" customWidth="1"/>
    <col min="16132" max="16132" width="12.7109375" style="424" hidden="1" customWidth="1"/>
    <col min="16133" max="16138" width="12.140625" style="424" hidden="1" customWidth="1"/>
    <col min="16139" max="16149" width="8.7109375" style="424" hidden="1" customWidth="1"/>
    <col min="16150" max="16384" width="8.7109375" style="424" hidden="1"/>
  </cols>
  <sheetData>
    <row r="1" spans="1:11" s="387" customFormat="1" ht="12.75">
      <c r="A1" s="2676" t="s">
        <v>1334</v>
      </c>
      <c r="B1" s="2677"/>
      <c r="C1" s="2677"/>
      <c r="D1" s="2677"/>
      <c r="E1" s="2677"/>
      <c r="F1" s="2677"/>
      <c r="G1" s="2677"/>
      <c r="H1" s="2677"/>
      <c r="I1" s="2677"/>
      <c r="J1" s="2678"/>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1022368</v>
      </c>
      <c r="C4" s="393"/>
      <c r="D4" s="393"/>
      <c r="E4" s="394"/>
      <c r="F4" s="394"/>
      <c r="G4" s="394"/>
      <c r="H4" s="394"/>
      <c r="I4" s="394"/>
      <c r="J4" s="394"/>
      <c r="K4" s="390"/>
    </row>
    <row r="5" spans="1:11" s="391" customFormat="1">
      <c r="A5" s="395" t="s">
        <v>28</v>
      </c>
      <c r="B5" s="392">
        <f>'Sources and Uses Budget'!C5</f>
        <v>32788</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1055156</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36750</v>
      </c>
      <c r="C10" s="393"/>
      <c r="D10" s="393"/>
      <c r="E10" s="392">
        <f>'Sources and Uses Budget'!S10</f>
        <v>36750</v>
      </c>
      <c r="F10" s="393"/>
      <c r="G10" s="393"/>
      <c r="H10" s="392">
        <f>'Sources and Uses Budget'!T10</f>
        <v>0</v>
      </c>
      <c r="I10" s="393"/>
      <c r="J10" s="393"/>
      <c r="K10" s="390"/>
    </row>
    <row r="11" spans="1:11" s="391" customFormat="1">
      <c r="A11" s="396" t="s">
        <v>604</v>
      </c>
      <c r="B11" s="392">
        <f>'Sources and Uses Budget'!C11</f>
        <v>36750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1091906</v>
      </c>
      <c r="C12" s="392">
        <f>SUM(C8+C11)</f>
        <v>0</v>
      </c>
      <c r="D12" s="392">
        <f>SUM(D8+D11)</f>
        <v>0</v>
      </c>
      <c r="E12" s="394"/>
      <c r="F12" s="394"/>
      <c r="G12" s="394"/>
      <c r="H12" s="394"/>
      <c r="I12" s="394"/>
      <c r="J12" s="394"/>
      <c r="K12" s="390"/>
    </row>
    <row r="13" spans="1:11" s="391" customFormat="1">
      <c r="A13" s="397" t="s">
        <v>917</v>
      </c>
      <c r="B13" s="392">
        <f>'Sources and Uses Budget'!C13</f>
        <v>256973</v>
      </c>
      <c r="C13" s="393"/>
      <c r="D13" s="393"/>
      <c r="E13" s="392">
        <f>'Sources and Uses Budget'!S13</f>
        <v>248684</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3203234</v>
      </c>
      <c r="C29" s="393"/>
      <c r="D29" s="393"/>
      <c r="E29" s="392">
        <f>'Sources and Uses Budget'!S29</f>
        <v>3203234</v>
      </c>
      <c r="F29" s="393"/>
      <c r="G29" s="393"/>
      <c r="H29" s="392">
        <f>'Sources and Uses Budget'!T29</f>
        <v>0</v>
      </c>
      <c r="I29" s="393"/>
      <c r="J29" s="393"/>
      <c r="K29" s="390"/>
    </row>
    <row r="30" spans="1:11" s="391" customFormat="1">
      <c r="A30" s="145" t="s">
        <v>607</v>
      </c>
      <c r="B30" s="392">
        <f>'Sources and Uses Budget'!C30</f>
        <v>28651960</v>
      </c>
      <c r="C30" s="393"/>
      <c r="D30" s="393"/>
      <c r="E30" s="392">
        <f>'Sources and Uses Budget'!S30</f>
        <v>28651960</v>
      </c>
      <c r="F30" s="393"/>
      <c r="G30" s="393"/>
      <c r="H30" s="392">
        <f>'Sources and Uses Budget'!T30</f>
        <v>0</v>
      </c>
      <c r="I30" s="393"/>
      <c r="J30" s="393"/>
      <c r="K30" s="390"/>
    </row>
    <row r="31" spans="1:11" s="391" customFormat="1">
      <c r="A31" s="145" t="s">
        <v>608</v>
      </c>
      <c r="B31" s="392">
        <f>'Sources and Uses Budget'!C31</f>
        <v>995804</v>
      </c>
      <c r="C31" s="393"/>
      <c r="D31" s="393"/>
      <c r="E31" s="392">
        <f>'Sources and Uses Budget'!S31</f>
        <v>995804</v>
      </c>
      <c r="F31" s="393"/>
      <c r="G31" s="393"/>
      <c r="H31" s="392">
        <f>'Sources and Uses Budget'!T31</f>
        <v>0</v>
      </c>
      <c r="I31" s="393"/>
      <c r="J31" s="393"/>
      <c r="K31" s="390"/>
    </row>
    <row r="32" spans="1:11" s="391" customFormat="1">
      <c r="A32" s="145" t="s">
        <v>137</v>
      </c>
      <c r="B32" s="392">
        <f>'Sources and Uses Budget'!C32</f>
        <v>1109098</v>
      </c>
      <c r="C32" s="393"/>
      <c r="D32" s="393"/>
      <c r="E32" s="392">
        <f>'Sources and Uses Budget'!S32</f>
        <v>1109098</v>
      </c>
      <c r="F32" s="393"/>
      <c r="G32" s="393"/>
      <c r="H32" s="392">
        <f>'Sources and Uses Budget'!T32</f>
        <v>0</v>
      </c>
      <c r="I32" s="393"/>
      <c r="J32" s="393"/>
      <c r="K32" s="390"/>
    </row>
    <row r="33" spans="1:11" s="391" customFormat="1">
      <c r="A33" s="145" t="s">
        <v>138</v>
      </c>
      <c r="B33" s="392">
        <f>'Sources and Uses Budget'!C33</f>
        <v>1109098</v>
      </c>
      <c r="C33" s="393"/>
      <c r="D33" s="393"/>
      <c r="E33" s="392">
        <f>'Sources and Uses Budget'!S33</f>
        <v>1109098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480609</v>
      </c>
      <c r="C35" s="393"/>
      <c r="D35" s="393"/>
      <c r="E35" s="392">
        <f>'Sources and Uses Budget'!S35</f>
        <v>480609</v>
      </c>
      <c r="F35" s="393"/>
      <c r="G35" s="393"/>
      <c r="H35" s="392">
        <f>'Sources and Uses Budget'!T35</f>
        <v>0</v>
      </c>
      <c r="I35" s="393"/>
      <c r="J35" s="393"/>
      <c r="K35" s="390"/>
    </row>
    <row r="36" spans="1:11" s="391" customFormat="1">
      <c r="A36" s="542" t="s">
        <v>1753</v>
      </c>
      <c r="B36" s="392">
        <f>'Sources and Uses Budget'!C36</f>
        <v>349525</v>
      </c>
      <c r="C36" s="393"/>
      <c r="D36" s="393"/>
      <c r="E36" s="392">
        <f>'Sources and Uses Budget'!S36</f>
        <v>349525</v>
      </c>
      <c r="F36" s="393"/>
      <c r="G36" s="393"/>
      <c r="H36" s="392">
        <f>'Sources and Uses Budget'!T36</f>
        <v>0</v>
      </c>
      <c r="I36" s="393"/>
      <c r="J36" s="393"/>
      <c r="K36" s="390"/>
    </row>
    <row r="37" spans="1:11" s="391" customFormat="1">
      <c r="A37" s="395" t="str">
        <f>'Sources and Uses Budget'!$A37</f>
        <v>Other: Escalation Contingency</v>
      </c>
      <c r="B37" s="392">
        <f>'Sources and Uses Budget'!C37</f>
        <v>1796494</v>
      </c>
      <c r="C37" s="393"/>
      <c r="D37" s="393"/>
      <c r="E37" s="392">
        <f>'Sources and Uses Budget'!S37</f>
        <v>1796494</v>
      </c>
      <c r="F37" s="393"/>
      <c r="G37" s="393"/>
      <c r="H37" s="392">
        <f>'Sources and Uses Budget'!T37</f>
        <v>0</v>
      </c>
      <c r="I37" s="393"/>
      <c r="J37" s="393"/>
      <c r="K37" s="390"/>
    </row>
    <row r="38" spans="1:11" s="391" customFormat="1">
      <c r="A38" s="396" t="s">
        <v>143</v>
      </c>
      <c r="B38" s="392">
        <f>'Sources and Uses Budget'!C38</f>
        <v>37695822</v>
      </c>
      <c r="C38" s="392">
        <f>SUM(C29:C37)</f>
        <v>0</v>
      </c>
      <c r="D38" s="392">
        <f>SUM(D29:D37)</f>
        <v>0</v>
      </c>
      <c r="E38" s="392">
        <f>'Sources and Uses Budget'!S38</f>
        <v>37695822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1362421</v>
      </c>
      <c r="C40" s="393"/>
      <c r="D40" s="393"/>
      <c r="E40" s="392">
        <f>'Sources and Uses Budget'!S40</f>
        <v>1362421</v>
      </c>
      <c r="F40" s="393"/>
      <c r="G40" s="393"/>
      <c r="H40" s="392">
        <f>'Sources and Uses Budget'!T40</f>
        <v>0</v>
      </c>
      <c r="I40" s="393"/>
      <c r="J40" s="393"/>
      <c r="K40" s="390"/>
    </row>
    <row r="41" spans="1:11" s="391" customFormat="1">
      <c r="A41" s="395" t="s">
        <v>146</v>
      </c>
      <c r="B41" s="392">
        <f>'Sources and Uses Budget'!C41</f>
        <v>250000</v>
      </c>
      <c r="C41" s="393"/>
      <c r="D41" s="393"/>
      <c r="E41" s="392">
        <f>'Sources and Uses Budget'!S41</f>
        <v>250000</v>
      </c>
      <c r="F41" s="393"/>
      <c r="G41" s="393"/>
      <c r="H41" s="392">
        <f>'Sources and Uses Budget'!T41</f>
        <v>0</v>
      </c>
      <c r="I41" s="393"/>
      <c r="J41" s="393"/>
      <c r="K41" s="390"/>
    </row>
    <row r="42" spans="1:11" s="391" customFormat="1">
      <c r="A42" s="396" t="s">
        <v>147</v>
      </c>
      <c r="B42" s="392">
        <f>'Sources and Uses Budget'!C42</f>
        <v>1612421</v>
      </c>
      <c r="C42" s="392">
        <f>SUM(C39:C41)</f>
        <v>0</v>
      </c>
      <c r="D42" s="392">
        <f>SUM(D39:D41)</f>
        <v>0</v>
      </c>
      <c r="E42" s="392">
        <f>'Sources and Uses Budget'!S42</f>
        <v>1612421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81003</v>
      </c>
      <c r="C43" s="393"/>
      <c r="D43" s="393"/>
      <c r="E43" s="392">
        <f>'Sources and Uses Budget'!S43</f>
        <v>81003</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5018735</v>
      </c>
      <c r="C45" s="393"/>
      <c r="D45" s="393"/>
      <c r="E45" s="392">
        <f>'Sources and Uses Budget'!S45</f>
        <v>2412006</v>
      </c>
      <c r="F45" s="393"/>
      <c r="G45" s="393"/>
      <c r="H45" s="392">
        <f>'Sources and Uses Budget'!T45</f>
        <v>0</v>
      </c>
      <c r="I45" s="393"/>
      <c r="J45" s="393"/>
      <c r="K45" s="390"/>
    </row>
    <row r="46" spans="1:11" s="391" customFormat="1">
      <c r="A46" s="395" t="s">
        <v>151</v>
      </c>
      <c r="B46" s="392">
        <f>'Sources and Uses Budget'!C46</f>
        <v>342504</v>
      </c>
      <c r="C46" s="393"/>
      <c r="D46" s="393"/>
      <c r="E46" s="392">
        <f>'Sources and Uses Budget'!S46</f>
        <v>164955</v>
      </c>
      <c r="F46" s="393"/>
      <c r="G46" s="393"/>
      <c r="H46" s="392">
        <f>'Sources and Uses Budget'!T46</f>
        <v>0</v>
      </c>
      <c r="I46" s="393"/>
      <c r="J46" s="393"/>
      <c r="K46" s="390"/>
    </row>
    <row r="47" spans="1:11" s="391" customFormat="1" ht="12" customHeight="1">
      <c r="A47" s="395" t="s">
        <v>152</v>
      </c>
      <c r="B47" s="392">
        <f>'Sources and Uses Budget'!C47</f>
        <v>45000</v>
      </c>
      <c r="C47" s="393"/>
      <c r="D47" s="393"/>
      <c r="E47" s="392">
        <f>'Sources and Uses Budget'!S47</f>
        <v>21673</v>
      </c>
      <c r="F47" s="393"/>
      <c r="G47" s="393"/>
      <c r="H47" s="392">
        <f>'Sources and Uses Budget'!T47</f>
        <v>0</v>
      </c>
      <c r="I47" s="393"/>
      <c r="J47" s="393"/>
      <c r="K47" s="390"/>
    </row>
    <row r="48" spans="1:11" s="391" customFormat="1">
      <c r="A48" s="395" t="s">
        <v>153</v>
      </c>
      <c r="B48" s="392">
        <f>'Sources and Uses Budget'!C48</f>
        <v>310547</v>
      </c>
      <c r="C48" s="393"/>
      <c r="D48" s="393"/>
      <c r="E48" s="392">
        <f>'Sources and Uses Budget'!S48</f>
        <v>310547</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85658</v>
      </c>
      <c r="C50" s="393"/>
      <c r="D50" s="393"/>
      <c r="E50" s="392">
        <f>'Sources and Uses Budget'!S50</f>
        <v>85658</v>
      </c>
      <c r="F50" s="393"/>
      <c r="G50" s="393"/>
      <c r="H50" s="392">
        <f>'Sources and Uses Budget'!T50</f>
        <v>0</v>
      </c>
      <c r="I50" s="393"/>
      <c r="J50" s="393"/>
      <c r="K50" s="390"/>
    </row>
    <row r="51" spans="1:11" s="391" customFormat="1">
      <c r="A51" s="395" t="s">
        <v>154</v>
      </c>
      <c r="B51" s="392">
        <f>'Sources and Uses Budget'!C51</f>
        <v>22364</v>
      </c>
      <c r="C51" s="393"/>
      <c r="D51" s="393"/>
      <c r="E51" s="392">
        <f>'Sources and Uses Budget'!S51</f>
        <v>22364</v>
      </c>
      <c r="F51" s="393"/>
      <c r="G51" s="393"/>
      <c r="H51" s="392">
        <f>'Sources and Uses Budget'!T51</f>
        <v>0</v>
      </c>
      <c r="I51" s="393"/>
      <c r="J51" s="393"/>
      <c r="K51" s="390"/>
    </row>
    <row r="52" spans="1:11" s="391" customFormat="1">
      <c r="A52" s="395" t="s">
        <v>155</v>
      </c>
      <c r="B52" s="392">
        <f>'Sources and Uses Budget'!C52</f>
        <v>714921</v>
      </c>
      <c r="C52" s="393"/>
      <c r="D52" s="393"/>
      <c r="E52" s="392">
        <f>'Sources and Uses Budget'!S52</f>
        <v>714921</v>
      </c>
      <c r="F52" s="393"/>
      <c r="G52" s="393"/>
      <c r="H52" s="392">
        <f>'Sources and Uses Budget'!T52</f>
        <v>0</v>
      </c>
      <c r="I52" s="393"/>
      <c r="J52" s="393"/>
      <c r="K52" s="390"/>
    </row>
    <row r="53" spans="1:11" s="391" customFormat="1">
      <c r="A53" s="395" t="str">
        <f>'Sources and Uses Budget'!$A53</f>
        <v>Other: Issuer Fees, CDLAC, CDIAC</v>
      </c>
      <c r="B53" s="392">
        <f>'Sources and Uses Budget'!C53</f>
        <v>133746</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6673475</v>
      </c>
      <c r="C54" s="398">
        <f>SUM(C45:C53)</f>
        <v>0</v>
      </c>
      <c r="D54" s="398">
        <f>SUM(D45:D53)</f>
        <v>0</v>
      </c>
      <c r="E54" s="392">
        <f>'Sources and Uses Budget'!S54</f>
        <v>3732124</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63370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(Perm Legal Sponsor + Lender)</v>
      </c>
      <c r="B61" s="392">
        <f>'Sources and Uses Budget'!C61</f>
        <v>25000</v>
      </c>
      <c r="C61" s="393"/>
      <c r="D61" s="393"/>
      <c r="E61" s="394"/>
      <c r="F61" s="394"/>
      <c r="G61" s="394"/>
      <c r="H61" s="394"/>
      <c r="I61" s="394"/>
      <c r="J61" s="394"/>
      <c r="K61" s="390"/>
    </row>
    <row r="62" spans="1:11" s="391" customFormat="1" ht="13.9" customHeight="1">
      <c r="A62" s="396" t="s">
        <v>302</v>
      </c>
      <c r="B62" s="392">
        <f>'Sources and Uses Budget'!C62</f>
        <v>113370</v>
      </c>
      <c r="C62" s="392">
        <f>SUM(C56:C61)</f>
        <v>0</v>
      </c>
      <c r="D62" s="392">
        <f>SUM(D56:D61)</f>
        <v>0</v>
      </c>
      <c r="E62" s="394"/>
      <c r="F62" s="394"/>
      <c r="G62" s="394"/>
      <c r="H62" s="394"/>
      <c r="I62" s="394"/>
      <c r="J62" s="394"/>
      <c r="K62" s="390"/>
    </row>
    <row r="63" spans="1:11" s="391" customFormat="1">
      <c r="A63" s="401" t="s">
        <v>303</v>
      </c>
      <c r="B63" s="392">
        <f>'Sources and Uses Budget'!C63</f>
        <v>47524970</v>
      </c>
      <c r="C63" s="392">
        <f>SUM(C8+C11+C13+C14+C15+C26+C27+C38+C42+C43+C54+C62)</f>
        <v>0</v>
      </c>
      <c r="D63" s="392">
        <f>SUM(D8+D11+D13+D14+D15+D26+D27+D38+D42+D43+D54+D62)</f>
        <v>0</v>
      </c>
      <c r="E63" s="392">
        <f>'Sources and Uses Budget'!S63</f>
        <v>43406804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115000</v>
      </c>
      <c r="C65" s="393"/>
      <c r="D65" s="393"/>
      <c r="E65" s="392">
        <f>'Sources and Uses Budget'!S65</f>
        <v>26489</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Other:Constr Closing</v>
      </c>
      <c r="B69" s="392">
        <f>'Sources and Uses Budget'!C69</f>
        <v>71842</v>
      </c>
      <c r="C69" s="393"/>
      <c r="D69" s="393"/>
      <c r="E69" s="392">
        <f>'Sources and Uses Budget'!S69</f>
        <v>71842</v>
      </c>
      <c r="F69" s="393"/>
      <c r="G69" s="393"/>
      <c r="H69" s="392">
        <f>'Sources and Uses Budget'!T69</f>
        <v>0</v>
      </c>
      <c r="I69" s="393"/>
      <c r="J69" s="393"/>
      <c r="K69" s="390"/>
    </row>
    <row r="70" spans="1:11" s="391" customFormat="1">
      <c r="A70" s="396" t="s">
        <v>609</v>
      </c>
      <c r="B70" s="392">
        <f>'Sources and Uses Budget'!C70</f>
        <v>186842</v>
      </c>
      <c r="C70" s="392">
        <f>SUM(C64:C69)</f>
        <v>0</v>
      </c>
      <c r="D70" s="392">
        <f>SUM(D64:D69)</f>
        <v>0</v>
      </c>
      <c r="E70" s="392">
        <f>'Sources and Uses Budget'!S70</f>
        <v>98331</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678568</v>
      </c>
      <c r="C75" s="393"/>
      <c r="D75" s="393"/>
      <c r="E75" s="394"/>
      <c r="F75" s="394"/>
      <c r="G75" s="394"/>
      <c r="H75" s="394"/>
      <c r="I75" s="394"/>
      <c r="J75" s="394"/>
      <c r="K75" s="390"/>
    </row>
    <row r="76" spans="1:11" s="391" customFormat="1">
      <c r="A76" s="395" t="str">
        <f>'Sources and Uses Budget'!$A76</f>
        <v>Other: HCD Pooled Reserve Fee</v>
      </c>
      <c r="B76" s="392">
        <f>'Sources and Uses Budget'!C76</f>
        <v>218299</v>
      </c>
      <c r="C76" s="393"/>
      <c r="D76" s="393"/>
      <c r="E76" s="394"/>
      <c r="F76" s="394"/>
      <c r="G76" s="394"/>
      <c r="H76" s="394"/>
      <c r="I76" s="394"/>
      <c r="J76" s="394"/>
      <c r="K76" s="390"/>
    </row>
    <row r="77" spans="1:11" s="391" customFormat="1">
      <c r="A77" s="396" t="s">
        <v>614</v>
      </c>
      <c r="B77" s="392">
        <f>'Sources and Uses Budget'!C77</f>
        <v>896867</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1886319</v>
      </c>
      <c r="C79" s="393"/>
      <c r="D79" s="393"/>
      <c r="E79" s="392">
        <f>'Sources and Uses Budget'!S79</f>
        <v>1886319</v>
      </c>
      <c r="F79" s="393"/>
      <c r="G79" s="393"/>
      <c r="H79" s="392">
        <f>'Sources and Uses Budget'!T79</f>
        <v>0</v>
      </c>
      <c r="I79" s="393"/>
      <c r="J79" s="393"/>
      <c r="K79" s="390"/>
    </row>
    <row r="80" spans="1:11" s="391" customFormat="1">
      <c r="A80" s="395" t="s">
        <v>58</v>
      </c>
      <c r="B80" s="392">
        <f>'Sources and Uses Budget'!C80</f>
        <v>388000</v>
      </c>
      <c r="C80" s="393"/>
      <c r="D80" s="393"/>
      <c r="E80" s="392">
        <f>'Sources and Uses Budget'!S80</f>
        <v>388000</v>
      </c>
      <c r="F80" s="393"/>
      <c r="G80" s="393"/>
      <c r="H80" s="392">
        <f>'Sources and Uses Budget'!T80</f>
        <v>0</v>
      </c>
      <c r="I80" s="393"/>
      <c r="J80" s="393"/>
      <c r="K80" s="390"/>
    </row>
    <row r="81" spans="1:11" s="391" customFormat="1">
      <c r="A81" s="396" t="s">
        <v>1315</v>
      </c>
      <c r="B81" s="392">
        <f>'Sources and Uses Budget'!C81</f>
        <v>2274319</v>
      </c>
      <c r="C81" s="392">
        <f>SUM(C79:C80)</f>
        <v>0</v>
      </c>
      <c r="D81" s="392">
        <f>SUM(D79:D80)</f>
        <v>0</v>
      </c>
      <c r="E81" s="392">
        <f>'Sources and Uses Budget'!S81</f>
        <v>2274319</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9" customHeight="1">
      <c r="A83" s="145" t="s">
        <v>2411</v>
      </c>
      <c r="B83" s="392">
        <f>'Sources and Uses Budget'!C83</f>
        <v>89565</v>
      </c>
      <c r="C83" s="393"/>
      <c r="D83" s="393"/>
      <c r="E83" s="394"/>
      <c r="F83" s="394"/>
      <c r="G83" s="394"/>
      <c r="H83" s="394"/>
      <c r="I83" s="394"/>
      <c r="J83" s="394"/>
      <c r="K83" s="390"/>
    </row>
    <row r="84" spans="1:11" s="391" customFormat="1">
      <c r="A84" s="145" t="s">
        <v>776</v>
      </c>
      <c r="B84" s="392">
        <f>'Sources and Uses Budget'!C84</f>
        <v>15225</v>
      </c>
      <c r="C84" s="393"/>
      <c r="D84" s="393"/>
      <c r="E84" s="392">
        <f>'Sources and Uses Budget'!S84</f>
        <v>15225</v>
      </c>
      <c r="F84" s="393"/>
      <c r="G84" s="393"/>
      <c r="H84" s="392">
        <f>'Sources and Uses Budget'!T84</f>
        <v>0</v>
      </c>
      <c r="I84" s="393"/>
      <c r="J84" s="393"/>
      <c r="K84" s="390"/>
    </row>
    <row r="85" spans="1:11" s="391" customFormat="1">
      <c r="A85" s="145" t="s">
        <v>777</v>
      </c>
      <c r="B85" s="392">
        <f>'Sources and Uses Budget'!C85</f>
        <v>1780802</v>
      </c>
      <c r="C85" s="393"/>
      <c r="D85" s="393"/>
      <c r="E85" s="392">
        <f>'Sources and Uses Budget'!S85</f>
        <v>1780802</v>
      </c>
      <c r="F85" s="393"/>
      <c r="G85" s="393"/>
      <c r="H85" s="392">
        <f>'Sources and Uses Budget'!T85</f>
        <v>0</v>
      </c>
      <c r="I85" s="393"/>
      <c r="J85" s="393"/>
      <c r="K85" s="390"/>
    </row>
    <row r="86" spans="1:11" s="391" customFormat="1">
      <c r="A86" s="145" t="s">
        <v>778</v>
      </c>
      <c r="B86" s="392">
        <f>'Sources and Uses Budget'!C86</f>
        <v>1034133</v>
      </c>
      <c r="C86" s="393"/>
      <c r="D86" s="393"/>
      <c r="E86" s="392">
        <f>'Sources and Uses Budget'!S86</f>
        <v>1034133</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66316</v>
      </c>
      <c r="C88" s="393"/>
      <c r="D88" s="393"/>
      <c r="E88" s="394"/>
      <c r="F88" s="394"/>
      <c r="G88" s="394"/>
      <c r="H88" s="394"/>
      <c r="I88" s="394"/>
      <c r="J88" s="394"/>
      <c r="K88" s="390"/>
    </row>
    <row r="89" spans="1:11" s="391" customFormat="1">
      <c r="A89" s="145" t="s">
        <v>781</v>
      </c>
      <c r="B89" s="392">
        <f>'Sources and Uses Budget'!C89</f>
        <v>157500</v>
      </c>
      <c r="C89" s="393"/>
      <c r="D89" s="393"/>
      <c r="E89" s="392">
        <f>'Sources and Uses Budget'!S89</f>
        <v>157500</v>
      </c>
      <c r="F89" s="393"/>
      <c r="G89" s="393"/>
      <c r="H89" s="392">
        <f>'Sources and Uses Budget'!T89</f>
        <v>0</v>
      </c>
      <c r="I89" s="393"/>
      <c r="J89" s="393"/>
      <c r="K89" s="390"/>
    </row>
    <row r="90" spans="1:11" s="391" customFormat="1">
      <c r="A90" s="145" t="s">
        <v>782</v>
      </c>
      <c r="B90" s="392">
        <f>'Sources and Uses Budget'!C90</f>
        <v>16579</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6500</v>
      </c>
      <c r="C92" s="393"/>
      <c r="D92" s="393"/>
      <c r="E92" s="392">
        <f>'Sources and Uses Budget'!S92</f>
        <v>6500</v>
      </c>
      <c r="F92" s="393"/>
      <c r="G92" s="393"/>
      <c r="H92" s="392">
        <f>'Sources and Uses Budget'!T92</f>
        <v>0</v>
      </c>
      <c r="I92" s="393"/>
      <c r="J92" s="393"/>
      <c r="K92" s="390"/>
    </row>
    <row r="93" spans="1:11" s="391" customFormat="1">
      <c r="A93" s="395" t="str">
        <f>'Sources and Uses Budget'!$A93</f>
        <v>Other: LEED/HERS Rater</v>
      </c>
      <c r="B93" s="392">
        <f>'Sources and Uses Budget'!C93</f>
        <v>72160</v>
      </c>
      <c r="C93" s="393"/>
      <c r="D93" s="393"/>
      <c r="E93" s="392">
        <f>'Sources and Uses Budget'!S93</f>
        <v>72160</v>
      </c>
      <c r="F93" s="393"/>
      <c r="G93" s="393"/>
      <c r="H93" s="392">
        <f>'Sources and Uses Budget'!T93</f>
        <v>0</v>
      </c>
      <c r="I93" s="393"/>
      <c r="J93" s="393"/>
      <c r="K93" s="390"/>
    </row>
    <row r="94" spans="1:11" s="391" customFormat="1">
      <c r="A94" s="395" t="str">
        <f>'Sources and Uses Budget'!$A94</f>
        <v>Other: Other Consultants</v>
      </c>
      <c r="B94" s="392">
        <f>'Sources and Uses Budget'!C94</f>
        <v>128500</v>
      </c>
      <c r="C94" s="393"/>
      <c r="D94" s="393"/>
      <c r="E94" s="392">
        <f>'Sources and Uses Budget'!S94</f>
        <v>128500</v>
      </c>
      <c r="F94" s="393"/>
      <c r="G94" s="393"/>
      <c r="H94" s="392">
        <f>'Sources and Uses Budget'!T94</f>
        <v>0</v>
      </c>
      <c r="I94" s="393"/>
      <c r="J94" s="393"/>
      <c r="K94" s="390"/>
    </row>
    <row r="95" spans="1:11" s="391" customFormat="1">
      <c r="A95" s="395" t="str">
        <f>'Sources and Uses Budget'!$A95</f>
        <v xml:space="preserve">Other: Partnership Formation </v>
      </c>
      <c r="B95" s="392">
        <f>'Sources and Uses Budget'!C95</f>
        <v>17025</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3384305</v>
      </c>
      <c r="C96" s="392">
        <f>SUM(C83:C95)</f>
        <v>0</v>
      </c>
      <c r="D96" s="392">
        <f>SUM(D83:D95)</f>
        <v>0</v>
      </c>
      <c r="E96" s="392">
        <f>'Sources and Uses Budget'!S96</f>
        <v>3194820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54267303</v>
      </c>
      <c r="C97" s="392">
        <f>SUM(C63+C70+C77+C81+C96)</f>
        <v>0</v>
      </c>
      <c r="D97" s="392">
        <f>SUM(D63+D70+D77+D81+D96)</f>
        <v>0</v>
      </c>
      <c r="E97" s="392">
        <f>'Sources and Uses Budget'!S97</f>
        <v>48974274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7346020</v>
      </c>
      <c r="C99" s="393"/>
      <c r="D99" s="393"/>
      <c r="E99" s="392">
        <f>'Sources and Uses Budget'!S99</f>
        <v>7346020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7346020</v>
      </c>
      <c r="C104" s="392">
        <f>SUM(C99:C103)</f>
        <v>0</v>
      </c>
      <c r="D104" s="392">
        <f>SUM(D99:D103)</f>
        <v>0</v>
      </c>
      <c r="E104" s="392">
        <f>'Sources and Uses Budget'!S104</f>
        <v>7346020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61613323</v>
      </c>
      <c r="C105" s="398">
        <f>SUM(C97+C104)</f>
        <v>0</v>
      </c>
      <c r="D105" s="398">
        <f>SUM(D97+D104)</f>
        <v>0</v>
      </c>
      <c r="E105" s="392">
        <f>'Sources and Uses Budget'!S105</f>
        <v>56320294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56320294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674"/>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675"/>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308</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6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1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1152</v>
      </c>
      <c r="E21" s="1311"/>
      <c r="F21" s="1311"/>
    </row>
    <row r="22" spans="1:6" ht="14.25">
      <c r="A22" s="176"/>
      <c r="B22" s="176"/>
      <c r="D22" s="35"/>
    </row>
    <row r="23" spans="1:6" ht="14.25">
      <c r="A23" s="176"/>
      <c r="B23" s="468" t="s">
        <v>308</v>
      </c>
      <c r="D23" s="1268" t="s">
        <v>1153</v>
      </c>
      <c r="E23" s="1268"/>
      <c r="F23" s="1268"/>
    </row>
    <row r="24" spans="1:6" ht="14.25">
      <c r="A24" s="176"/>
      <c r="B24" s="176"/>
      <c r="D24" s="1268"/>
      <c r="E24" s="1268"/>
      <c r="F24" s="1268"/>
    </row>
    <row r="25" spans="1:6"/>
    <row r="26" spans="1:6" ht="14.2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4.25">
      <c r="A34" s="176"/>
      <c r="B34" s="176"/>
      <c r="D34" s="220"/>
    </row>
    <row r="35" spans="1:6" ht="14.65" customHeight="1">
      <c r="A35" s="176"/>
      <c r="B35" s="468" t="s">
        <v>308</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65" customHeight="1">
      <c r="A50" s="176"/>
      <c r="B50" s="468" t="s">
        <v>308</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1160</v>
      </c>
      <c r="E54" s="1268"/>
      <c r="F54" s="1268"/>
      <c r="G54" s="3"/>
    </row>
    <row r="55" spans="1:7" ht="14.25">
      <c r="A55" s="176"/>
      <c r="B55" s="176"/>
      <c r="C55" s="385"/>
      <c r="D55" s="1268"/>
      <c r="E55" s="1268"/>
      <c r="F55" s="1268"/>
      <c r="G55" s="3"/>
    </row>
    <row r="56" spans="1:7">
      <c r="D56" s="220"/>
    </row>
    <row r="57" spans="1:7" ht="14.25">
      <c r="A57" s="176"/>
      <c r="B57" s="468" t="s">
        <v>308</v>
      </c>
      <c r="D57" s="1268" t="s">
        <v>1161</v>
      </c>
      <c r="E57" s="1268"/>
      <c r="F57" s="1268"/>
    </row>
    <row r="58" spans="1:7">
      <c r="D58" s="1268"/>
      <c r="E58" s="1268"/>
      <c r="F58" s="1268"/>
    </row>
    <row r="59" spans="1:7">
      <c r="D59" s="1268"/>
      <c r="E59" s="1268"/>
      <c r="F59" s="1268"/>
    </row>
    <row r="60" spans="1:7">
      <c r="D60" s="3"/>
    </row>
    <row r="61" spans="1:7" ht="14.25">
      <c r="A61" s="176"/>
      <c r="B61" s="468" t="s">
        <v>308</v>
      </c>
      <c r="D61" s="1268" t="s">
        <v>1162</v>
      </c>
      <c r="E61" s="1268"/>
      <c r="F61" s="1268"/>
    </row>
    <row r="62" spans="1:7">
      <c r="D62" s="1268"/>
      <c r="E62" s="1268"/>
      <c r="F62" s="1268"/>
    </row>
    <row r="63" spans="1:7"/>
    <row r="64" spans="1:7" ht="14.25">
      <c r="A64" s="176"/>
      <c r="B64" s="468" t="s">
        <v>308</v>
      </c>
      <c r="D64" s="1268" t="s">
        <v>1163</v>
      </c>
      <c r="E64" s="1268"/>
      <c r="F64" s="1268"/>
    </row>
    <row r="65" spans="1:7">
      <c r="D65" s="1268"/>
      <c r="E65" s="1268"/>
      <c r="F65" s="1268"/>
    </row>
    <row r="66" spans="1:7">
      <c r="D66" s="1268"/>
      <c r="E66" s="1268"/>
      <c r="F66" s="1268"/>
    </row>
    <row r="67" spans="1:7">
      <c r="D67"/>
    </row>
    <row r="68" spans="1:7" ht="14.25">
      <c r="A68" s="176"/>
      <c r="B68" s="468" t="s">
        <v>308</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308</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65" customHeight="1">
      <c r="A83" s="176"/>
      <c r="B83" s="468" t="s">
        <v>308</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1175</v>
      </c>
      <c r="E123" s="1268"/>
      <c r="F123" s="1268"/>
    </row>
    <row r="124" spans="1:7" s="197" customFormat="1" ht="13.9" customHeight="1">
      <c r="A124" s="195"/>
      <c r="B124" s="195"/>
      <c r="C124" s="195"/>
      <c r="D124" s="1268"/>
      <c r="E124" s="1268"/>
      <c r="F124" s="1268"/>
      <c r="G124" s="196"/>
    </row>
    <row r="125" spans="1:7" ht="13.9" customHeight="1">
      <c r="D125" s="1268"/>
      <c r="E125" s="1268"/>
      <c r="F125" s="1268"/>
    </row>
    <row r="126" spans="1:7" ht="13.9" customHeight="1">
      <c r="D126" s="1268"/>
      <c r="E126" s="1268"/>
      <c r="F126" s="1268"/>
    </row>
    <row r="127" spans="1:7" ht="13.9" customHeight="1">
      <c r="D127" s="1268"/>
      <c r="E127" s="1268"/>
      <c r="F127" s="1268"/>
    </row>
    <row r="128" spans="1:7" ht="13.9" customHeight="1">
      <c r="A128" s="256"/>
      <c r="B128" s="256"/>
      <c r="D128" s="1268"/>
      <c r="E128" s="1268"/>
      <c r="F128" s="1268"/>
    </row>
    <row r="129" spans="2:6" ht="13.9" customHeight="1">
      <c r="D129" s="1268"/>
      <c r="E129" s="1268"/>
      <c r="F129" s="1268"/>
    </row>
    <row r="130" spans="2:6" ht="13.9" customHeight="1">
      <c r="D130" s="1268"/>
      <c r="E130" s="1268"/>
      <c r="F130" s="1268"/>
    </row>
    <row r="131" spans="2:6" ht="13.9" customHeight="1">
      <c r="D131" s="1268"/>
      <c r="E131" s="1268"/>
      <c r="F131" s="1268"/>
    </row>
    <row r="132" spans="2:6" ht="13.9" customHeight="1">
      <c r="D132" s="1268"/>
      <c r="E132" s="1268"/>
      <c r="F132" s="1268"/>
    </row>
    <row r="133" spans="2:6" ht="13.9" customHeight="1">
      <c r="D133" s="1268"/>
      <c r="E133" s="1268"/>
      <c r="F133" s="1268"/>
    </row>
    <row r="134" spans="2:6" ht="13.9" customHeight="1">
      <c r="D134" s="1268"/>
      <c r="E134" s="1268"/>
      <c r="F134" s="1268"/>
    </row>
    <row r="135" spans="2:6" ht="13.9" customHeight="1">
      <c r="D135" s="218"/>
      <c r="E135" s="35"/>
      <c r="F135" s="35"/>
    </row>
    <row r="136" spans="2:6" ht="13.9" customHeight="1">
      <c r="B136" s="468" t="s">
        <v>308</v>
      </c>
      <c r="D136" s="1268" t="s">
        <v>1283</v>
      </c>
      <c r="E136" s="1268"/>
      <c r="F136" s="1268"/>
    </row>
    <row r="137" spans="2:6" ht="13.9" customHeight="1">
      <c r="D137" s="1268"/>
      <c r="E137" s="1268"/>
      <c r="F137" s="1268"/>
    </row>
    <row r="138" spans="2:6" ht="13.9" customHeight="1">
      <c r="D138" s="1268"/>
      <c r="E138" s="1268"/>
      <c r="F138" s="1268"/>
    </row>
    <row r="139" spans="2:6" ht="13.9" customHeight="1">
      <c r="D139" s="1268"/>
      <c r="E139" s="1268"/>
      <c r="F139" s="1268"/>
    </row>
    <row r="140" spans="2:6" ht="13.9" customHeight="1">
      <c r="D140" s="1268"/>
      <c r="E140" s="1268"/>
      <c r="F140" s="1268"/>
    </row>
    <row r="141" spans="2:6" ht="13.9" customHeight="1">
      <c r="D141" s="1268"/>
      <c r="E141" s="1268"/>
      <c r="F141" s="1268"/>
    </row>
    <row r="142" spans="2:6" ht="13.9" customHeight="1">
      <c r="D142" s="1268"/>
      <c r="E142" s="1268"/>
      <c r="F142" s="1268"/>
    </row>
    <row r="143" spans="2:6" ht="13.9" customHeight="1">
      <c r="D143" s="1268"/>
      <c r="E143" s="1268"/>
      <c r="F143" s="1268"/>
    </row>
    <row r="144" spans="2:6" ht="13.9" customHeight="1">
      <c r="D144" s="1268"/>
      <c r="E144" s="1268"/>
      <c r="F144" s="1268"/>
    </row>
    <row r="145" spans="1:7" ht="13.9" customHeight="1">
      <c r="D145" s="1268"/>
      <c r="E145" s="1268"/>
      <c r="F145" s="1268"/>
    </row>
    <row r="146" spans="1:7" ht="13.9" customHeight="1">
      <c r="D146" s="1268"/>
      <c r="E146" s="1268"/>
      <c r="F146" s="1268"/>
    </row>
    <row r="147" spans="1:7" ht="13.9" customHeight="1">
      <c r="D147" s="1268"/>
      <c r="E147" s="1268"/>
      <c r="F147" s="1268"/>
    </row>
    <row r="148" spans="1:7" ht="13.9" customHeight="1">
      <c r="D148" s="1268"/>
      <c r="E148" s="1268"/>
      <c r="F148" s="1268"/>
    </row>
    <row r="149" spans="1:7" ht="13.9" customHeight="1">
      <c r="D149" s="1268"/>
      <c r="E149" s="1268"/>
      <c r="F149" s="1268"/>
    </row>
    <row r="150" spans="1:7" ht="13.9" customHeight="1">
      <c r="D150" s="1268"/>
      <c r="E150" s="1268"/>
      <c r="F150" s="1268"/>
    </row>
    <row r="151" spans="1:7" ht="13.9" customHeight="1">
      <c r="D151" s="1268"/>
      <c r="E151" s="1268"/>
      <c r="F151" s="1268"/>
    </row>
    <row r="152" spans="1:7" ht="13.9" customHeight="1">
      <c r="D152" s="1268"/>
      <c r="E152" s="1268"/>
      <c r="F152" s="1268"/>
    </row>
    <row r="153" spans="1:7" ht="13.9" customHeight="1">
      <c r="D153" s="1268"/>
      <c r="E153" s="1268"/>
      <c r="F153" s="1268"/>
    </row>
    <row r="154" spans="1:7" ht="13.9" customHeight="1">
      <c r="D154" s="1268"/>
      <c r="E154" s="1268"/>
      <c r="F154" s="1268"/>
    </row>
    <row r="155" spans="1:7" ht="13.9" customHeight="1">
      <c r="D155" s="218"/>
      <c r="E155" s="35"/>
      <c r="F155" s="35"/>
    </row>
    <row r="156" spans="1:7" ht="13.9" customHeight="1">
      <c r="A156" s="256"/>
      <c r="B156" s="468" t="s">
        <v>308</v>
      </c>
      <c r="C156" s="218"/>
      <c r="D156" s="1277" t="s">
        <v>1176</v>
      </c>
      <c r="E156" s="1277"/>
      <c r="F156" s="1277"/>
      <c r="G156" s="218"/>
    </row>
    <row r="157" spans="1:7" ht="13.9" customHeight="1">
      <c r="A157" s="256"/>
      <c r="B157" s="256"/>
      <c r="C157" s="218"/>
      <c r="D157" s="1277"/>
      <c r="E157" s="1277"/>
      <c r="F157" s="1277"/>
      <c r="G157" s="218"/>
    </row>
    <row r="158" spans="1:7" ht="13.9" customHeight="1">
      <c r="A158" s="256"/>
      <c r="B158" s="256"/>
      <c r="C158" s="218"/>
      <c r="D158" s="218"/>
      <c r="E158" s="218"/>
      <c r="F158" s="218"/>
      <c r="G158" s="218"/>
    </row>
    <row r="159" spans="1:7" ht="13.9" customHeight="1">
      <c r="A159" s="256"/>
      <c r="B159" s="468" t="s">
        <v>308</v>
      </c>
      <c r="C159" s="218"/>
      <c r="D159" s="1277" t="s">
        <v>1177</v>
      </c>
      <c r="E159" s="1277"/>
      <c r="F159" s="1277"/>
      <c r="G159" s="218"/>
    </row>
    <row r="160" spans="1:7" ht="13.9" customHeight="1">
      <c r="A160" s="256"/>
      <c r="B160" s="256"/>
      <c r="C160" s="218"/>
      <c r="D160" s="1277"/>
      <c r="E160" s="1277"/>
      <c r="F160" s="1277"/>
      <c r="G160" s="218"/>
    </row>
    <row r="161" spans="1:7" ht="13.9" customHeight="1">
      <c r="A161" s="256"/>
      <c r="B161" s="256"/>
      <c r="C161" s="218"/>
      <c r="D161" s="1277"/>
      <c r="E161" s="1277"/>
      <c r="F161" s="1277"/>
      <c r="G161" s="218"/>
    </row>
    <row r="162" spans="1:7" ht="13.9" customHeight="1">
      <c r="A162" s="256"/>
      <c r="B162" s="256"/>
      <c r="C162" s="218"/>
      <c r="D162" s="1277"/>
      <c r="E162" s="1277"/>
      <c r="F162" s="1277"/>
      <c r="G162" s="218"/>
    </row>
    <row r="163" spans="1:7" ht="13.9" customHeight="1">
      <c r="D163" s="35"/>
      <c r="E163" s="35"/>
      <c r="F163" s="35"/>
    </row>
    <row r="164" spans="1:7" ht="13.9" customHeight="1">
      <c r="B164" s="468" t="s">
        <v>308</v>
      </c>
      <c r="D164" s="1282" t="s">
        <v>1178</v>
      </c>
      <c r="E164" s="1282"/>
      <c r="F164" s="1282"/>
    </row>
    <row r="165" spans="1:7" ht="13.9" customHeight="1">
      <c r="D165" s="1282"/>
      <c r="E165" s="1282"/>
      <c r="F165" s="1282"/>
    </row>
    <row r="166" spans="1:7" ht="13.9" customHeight="1">
      <c r="D166" s="1282"/>
      <c r="E166" s="1282"/>
      <c r="F166" s="1282"/>
    </row>
    <row r="167" spans="1:7" ht="13.9"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308</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308</v>
      </c>
      <c r="C186" s="385"/>
      <c r="D186" s="1268" t="s">
        <v>1179</v>
      </c>
      <c r="E186" s="1268"/>
      <c r="F186" s="1268"/>
      <c r="G186" s="3"/>
    </row>
    <row r="187" spans="1:7" ht="14.6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308</v>
      </c>
      <c r="D197" s="1268" t="s">
        <v>1197</v>
      </c>
      <c r="E197" s="1268"/>
      <c r="F197" s="1268"/>
    </row>
    <row r="198" spans="1:6" ht="14.25">
      <c r="A198" s="176"/>
      <c r="B198" s="176"/>
      <c r="D198" s="1268"/>
      <c r="E198" s="1268"/>
      <c r="F198" s="1268"/>
    </row>
    <row r="199" spans="1:6"/>
    <row r="200" spans="1:6" ht="14.25">
      <c r="A200" s="176"/>
      <c r="B200" s="468" t="s">
        <v>308</v>
      </c>
      <c r="D200" s="1268" t="s">
        <v>1198</v>
      </c>
      <c r="E200" s="1268"/>
      <c r="F200" s="1268"/>
    </row>
    <row r="201" spans="1:6" ht="14.25">
      <c r="A201" s="176"/>
      <c r="B201" s="176"/>
      <c r="D201" s="1268"/>
      <c r="E201" s="1268"/>
      <c r="F201" s="1268"/>
    </row>
    <row r="202" spans="1:6" ht="14.25">
      <c r="A202" s="176"/>
      <c r="B202" s="176"/>
      <c r="D202" s="1268"/>
      <c r="E202" s="1268"/>
      <c r="F202" s="1268"/>
    </row>
    <row r="203" spans="1:6" ht="4.9000000000000004"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65" customHeight="1">
      <c r="A214" s="176"/>
      <c r="B214" s="468" t="s">
        <v>308</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1205</v>
      </c>
      <c r="E228" s="1286"/>
      <c r="F228" s="1286"/>
    </row>
    <row r="229" spans="1:6" ht="14.25">
      <c r="A229" s="176"/>
      <c r="B229" s="176"/>
      <c r="D229" s="1286"/>
      <c r="E229" s="1286"/>
      <c r="F229" s="1286"/>
    </row>
    <row r="230" spans="1:6">
      <c r="D230" s="35"/>
      <c r="E230" s="35"/>
      <c r="F230" s="35"/>
    </row>
    <row r="231" spans="1:6" ht="14.65" customHeight="1">
      <c r="A231" s="176"/>
      <c r="B231" s="468" t="s">
        <v>308</v>
      </c>
      <c r="D231" s="1268" t="s">
        <v>1206</v>
      </c>
      <c r="E231" s="1268"/>
      <c r="F231" s="1268"/>
    </row>
    <row r="232" spans="1:6">
      <c r="D232" s="1268"/>
      <c r="E232" s="1268"/>
      <c r="F232" s="1268"/>
    </row>
    <row r="233" spans="1:6">
      <c r="D233" s="1287" t="s">
        <v>901</v>
      </c>
      <c r="E233" s="1287"/>
      <c r="F233" s="1287"/>
    </row>
    <row r="234" spans="1:6">
      <c r="D234" s="35"/>
      <c r="E234" s="35"/>
      <c r="F234" s="35"/>
    </row>
    <row r="235" spans="1:6" ht="14.6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ht="14.25">
      <c r="A253" s="176"/>
      <c r="B253" s="468" t="s">
        <v>308</v>
      </c>
      <c r="D253" s="1268" t="s">
        <v>1211</v>
      </c>
      <c r="E253" s="1268"/>
      <c r="F253" s="1268"/>
    </row>
    <row r="254" spans="1:7" ht="14.25">
      <c r="A254" s="176"/>
      <c r="B254" s="176"/>
      <c r="D254" s="1268"/>
      <c r="E254" s="1268"/>
      <c r="F254" s="1268"/>
    </row>
    <row r="255" spans="1:7">
      <c r="D255" s="35"/>
      <c r="E255" s="35"/>
      <c r="F255" s="35"/>
    </row>
    <row r="256" spans="1:7" ht="14.25">
      <c r="A256" s="176"/>
      <c r="B256" s="468" t="s">
        <v>308</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308</v>
      </c>
      <c r="D268" s="1279" t="s">
        <v>1215</v>
      </c>
      <c r="E268" s="1279"/>
      <c r="F268" s="1279"/>
    </row>
    <row r="269" spans="1:7" ht="14.25">
      <c r="A269" s="176"/>
      <c r="B269" s="176"/>
      <c r="D269" s="341"/>
      <c r="E269" s="342"/>
      <c r="F269" s="342"/>
    </row>
    <row r="270" spans="1:7" ht="13.15" customHeight="1">
      <c r="B270" s="468" t="s">
        <v>308</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1217</v>
      </c>
      <c r="E276" s="1288"/>
      <c r="F276" s="1288"/>
    </row>
    <row r="277" spans="1:6">
      <c r="D277" s="1288"/>
      <c r="E277" s="1288"/>
      <c r="F277" s="1288"/>
    </row>
    <row r="278" spans="1:6" ht="14.25">
      <c r="A278" s="176"/>
      <c r="B278" s="176"/>
      <c r="D278" s="341"/>
      <c r="E278" s="342"/>
      <c r="F278" s="342"/>
    </row>
    <row r="279" spans="1:6">
      <c r="B279" s="468" t="s">
        <v>308</v>
      </c>
      <c r="D279" s="1279" t="s">
        <v>1218</v>
      </c>
      <c r="E279" s="1279"/>
      <c r="F279" s="1279"/>
    </row>
    <row r="280" spans="1:6">
      <c r="E280" s="35"/>
      <c r="F280" s="35"/>
    </row>
    <row r="281" spans="1:6" ht="14.25">
      <c r="A281" s="176"/>
      <c r="B281" s="468" t="s">
        <v>308</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9" customHeight="1">
      <c r="D403" s="1268"/>
      <c r="E403" s="1268"/>
      <c r="F403" s="1268"/>
    </row>
    <row r="404" spans="1:7">
      <c r="D404" s="35"/>
      <c r="E404" s="35"/>
      <c r="F404" s="35"/>
    </row>
    <row r="405" spans="1:7" ht="14.25">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1234</v>
      </c>
      <c r="E416" s="1268"/>
      <c r="F416" s="1268"/>
      <c r="G416"/>
    </row>
    <row r="417" spans="1:7">
      <c r="D417" s="1268"/>
      <c r="E417" s="1268"/>
      <c r="F417" s="1268"/>
      <c r="G417"/>
    </row>
    <row r="418" spans="1:7">
      <c r="D418" s="35"/>
      <c r="E418" s="35"/>
      <c r="F418" s="35"/>
      <c r="G418"/>
    </row>
    <row r="419" spans="1:7" ht="14.2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308</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1242</v>
      </c>
      <c r="E459" s="1279"/>
      <c r="F459" s="1279"/>
      <c r="G459"/>
    </row>
    <row r="460" spans="1:7" ht="14.25">
      <c r="A460" s="176"/>
      <c r="B460" s="176"/>
      <c r="D460" s="118"/>
      <c r="E460" s="3"/>
      <c r="F460" s="3"/>
      <c r="G460"/>
    </row>
    <row r="461" spans="1:7" ht="14.25">
      <c r="A461" s="176"/>
      <c r="B461" s="468" t="s">
        <v>308</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6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6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15" customHeight="1">
      <c r="A485" s="175"/>
      <c r="B485" s="175"/>
      <c r="C485" s="175"/>
      <c r="D485" s="220"/>
      <c r="F485" s="35"/>
    </row>
    <row r="486" spans="1:6" ht="14.6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6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6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308</v>
      </c>
      <c r="C519" s="179"/>
      <c r="D519" s="1279" t="s">
        <v>896</v>
      </c>
      <c r="E519" s="1279"/>
      <c r="F519" s="1279"/>
      <c r="G519"/>
    </row>
    <row r="520" spans="1:7" ht="13.15" customHeight="1">
      <c r="A520" s="179"/>
      <c r="B520" s="179"/>
      <c r="C520" s="179"/>
      <c r="D520" s="118"/>
      <c r="E520"/>
      <c r="F520"/>
      <c r="G520"/>
    </row>
    <row r="521" spans="1:7" ht="14.2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1098</v>
      </c>
      <c r="E560" s="1282"/>
      <c r="F560" s="1282"/>
    </row>
    <row r="561" spans="1:6">
      <c r="A561"/>
      <c r="B561"/>
      <c r="C561" s="175"/>
      <c r="D561" s="255"/>
    </row>
    <row r="562" spans="1:6">
      <c r="A562" s="175"/>
      <c r="B562" s="468" t="s">
        <v>308</v>
      </c>
      <c r="D562" s="1282" t="s">
        <v>902</v>
      </c>
      <c r="E562" s="1282"/>
      <c r="F562" s="1282"/>
    </row>
    <row r="563" spans="1:6">
      <c r="A563" s="13"/>
      <c r="B563" s="13"/>
      <c r="D563" s="218"/>
    </row>
    <row r="564" spans="1:6">
      <c r="A564" s="13"/>
      <c r="B564" s="468" t="s">
        <v>308</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1101</v>
      </c>
      <c r="E573" s="1282"/>
      <c r="F573" s="1282"/>
    </row>
    <row r="574" spans="1:6">
      <c r="A574" s="13"/>
      <c r="B574" s="13"/>
      <c r="D574" s="1282"/>
      <c r="E574" s="1282"/>
      <c r="F574" s="1282"/>
    </row>
    <row r="575" spans="1:6">
      <c r="A575" s="13"/>
      <c r="B575" s="13"/>
      <c r="D575" s="255"/>
    </row>
    <row r="576" spans="1:6">
      <c r="A576" s="13"/>
      <c r="B576" s="468" t="s">
        <v>308</v>
      </c>
      <c r="D576" s="1282" t="s">
        <v>1102</v>
      </c>
      <c r="E576" s="1282"/>
      <c r="F576" s="1282"/>
    </row>
    <row r="577" spans="1:7">
      <c r="A577" s="13"/>
      <c r="B577" s="13"/>
      <c r="D577" s="1282"/>
      <c r="E577" s="1282"/>
      <c r="F577" s="1282"/>
    </row>
    <row r="578" spans="1:7">
      <c r="A578" s="13"/>
      <c r="B578" s="13"/>
      <c r="D578" s="255"/>
    </row>
    <row r="579" spans="1:7" ht="14.25">
      <c r="A579" s="176"/>
      <c r="B579" s="468" t="s">
        <v>308</v>
      </c>
      <c r="D579" s="1282" t="s">
        <v>897</v>
      </c>
      <c r="E579" s="1282"/>
      <c r="F579" s="1282"/>
    </row>
    <row r="580" spans="1:7" ht="14.25">
      <c r="A580" s="176"/>
      <c r="B580" s="176"/>
      <c r="D580" s="255"/>
    </row>
    <row r="581" spans="1:7" ht="14.25">
      <c r="A581" s="176"/>
      <c r="B581" s="468" t="s">
        <v>308</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308</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c r="C609" s="180"/>
      <c r="D609" s="1293"/>
      <c r="E609" s="1293"/>
      <c r="F609" s="1293"/>
    </row>
    <row r="610" spans="1:7">
      <c r="C610" s="180"/>
    </row>
    <row r="611" spans="1:7">
      <c r="B611" s="468" t="s">
        <v>308</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65" customHeight="1">
      <c r="A640" s="176"/>
      <c r="B640" s="468" t="s">
        <v>308</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308</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71093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23" zoomScale="86" workbookViewId="0">
      <selection activeCell="B1015" sqref="B1015"/>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7109375" style="433" customWidth="1"/>
    <col min="11" max="16384" width="8.71093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9"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2770</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25">
      <c r="A20" s="518"/>
      <c r="B20" s="519" t="s">
        <v>2770</v>
      </c>
      <c r="D20" s="1295" t="s">
        <v>2223</v>
      </c>
      <c r="E20" s="1295"/>
      <c r="F20" s="1295"/>
      <c r="I20" s="524" t="s">
        <v>2074</v>
      </c>
    </row>
    <row r="21" spans="1:9" ht="14.25">
      <c r="A21" s="518"/>
      <c r="D21" s="1295"/>
      <c r="E21" s="1295"/>
      <c r="F21" s="1295"/>
      <c r="I21" s="524"/>
    </row>
    <row r="22" spans="1:9" ht="14.25">
      <c r="A22" s="518"/>
      <c r="D22" s="423"/>
      <c r="E22" s="96" t="s">
        <v>2219</v>
      </c>
      <c r="F22" s="423"/>
      <c r="I22" s="524"/>
    </row>
    <row r="23" spans="1:9" ht="14.25">
      <c r="A23" s="518"/>
      <c r="B23" s="518"/>
      <c r="D23" s="480"/>
      <c r="I23" s="524"/>
    </row>
    <row r="24" spans="1:9" ht="14.25">
      <c r="A24" s="518"/>
      <c r="B24" s="519" t="s">
        <v>2771</v>
      </c>
      <c r="D24" s="1295" t="s">
        <v>1153</v>
      </c>
      <c r="E24" s="1295"/>
      <c r="F24" s="1295"/>
      <c r="I24" s="524" t="s">
        <v>2074</v>
      </c>
    </row>
    <row r="25" spans="1:9" ht="14.25">
      <c r="A25" s="518"/>
      <c r="B25" s="518"/>
      <c r="D25" s="1295"/>
      <c r="E25" s="1295"/>
      <c r="F25" s="1295"/>
      <c r="I25" s="524"/>
    </row>
    <row r="26" spans="1:9">
      <c r="I26" s="524"/>
    </row>
    <row r="27" spans="1:9" ht="14.25">
      <c r="A27" s="518"/>
      <c r="B27" s="519" t="s">
        <v>2771</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2770</v>
      </c>
      <c r="D33" s="1295" t="s">
        <v>2363</v>
      </c>
      <c r="E33" s="1295"/>
      <c r="F33" s="1295"/>
      <c r="I33" s="524" t="s">
        <v>2073</v>
      </c>
    </row>
    <row r="34" spans="1:9">
      <c r="D34" s="1295"/>
      <c r="E34" s="1295"/>
      <c r="F34" s="1295"/>
      <c r="I34" s="524"/>
    </row>
    <row r="35" spans="1:9" ht="14.25">
      <c r="A35" s="518"/>
      <c r="B35" s="518"/>
      <c r="D35" s="481"/>
      <c r="I35" s="524"/>
    </row>
    <row r="36" spans="1:9" ht="14.65" customHeight="1">
      <c r="A36" s="518"/>
      <c r="B36" s="519" t="s">
        <v>2771</v>
      </c>
      <c r="D36" s="1295" t="s">
        <v>1320</v>
      </c>
      <c r="E36" s="1295"/>
      <c r="F36" s="1295"/>
      <c r="I36" s="524" t="s">
        <v>2144</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2771</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2771</v>
      </c>
      <c r="D47" s="1295" t="s">
        <v>1158</v>
      </c>
      <c r="E47" s="1295"/>
      <c r="F47" s="1295"/>
      <c r="I47" s="524" t="s">
        <v>2144</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65" customHeight="1">
      <c r="A52" s="518"/>
      <c r="B52" s="519" t="s">
        <v>2771</v>
      </c>
      <c r="D52" s="1295" t="s">
        <v>1159</v>
      </c>
      <c r="E52" s="1295"/>
      <c r="F52" s="1295"/>
      <c r="I52" s="524" t="s">
        <v>2144</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2770</v>
      </c>
      <c r="D56" s="1344" t="s">
        <v>1160</v>
      </c>
      <c r="E56" s="1344"/>
      <c r="F56" s="1344"/>
      <c r="I56" s="524"/>
    </row>
    <row r="57" spans="1:9" ht="14.25">
      <c r="A57" s="518"/>
      <c r="B57" s="518"/>
      <c r="D57" s="1344"/>
      <c r="E57" s="1344"/>
      <c r="F57" s="1344"/>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2771</v>
      </c>
      <c r="D61" s="1295" t="s">
        <v>1161</v>
      </c>
      <c r="E61" s="1295"/>
      <c r="F61" s="1295"/>
      <c r="I61" s="524" t="s">
        <v>2075</v>
      </c>
    </row>
    <row r="62" spans="1:9">
      <c r="D62" s="1295"/>
      <c r="E62" s="1295"/>
      <c r="F62" s="1295"/>
      <c r="I62" s="524"/>
    </row>
    <row r="63" spans="1:9">
      <c r="D63" s="1295"/>
      <c r="E63" s="1295"/>
      <c r="F63" s="1295"/>
      <c r="I63" s="524"/>
    </row>
    <row r="64" spans="1:9">
      <c r="I64" s="524"/>
    </row>
    <row r="65" spans="1:9" ht="14.25">
      <c r="A65" s="518"/>
      <c r="B65" s="519" t="s">
        <v>2770</v>
      </c>
      <c r="D65" s="1295" t="s">
        <v>1162</v>
      </c>
      <c r="E65" s="1295"/>
      <c r="F65" s="1295"/>
      <c r="I65" s="524" t="s">
        <v>2076</v>
      </c>
    </row>
    <row r="66" spans="1:9">
      <c r="D66" s="1295"/>
      <c r="E66" s="1295"/>
      <c r="F66" s="1295"/>
      <c r="I66" s="524"/>
    </row>
    <row r="67" spans="1:9">
      <c r="I67" s="524"/>
    </row>
    <row r="68" spans="1:9" ht="14.25">
      <c r="A68" s="518"/>
      <c r="B68" s="519" t="s">
        <v>2771</v>
      </c>
      <c r="D68" s="1295" t="s">
        <v>1163</v>
      </c>
      <c r="E68" s="1295"/>
      <c r="F68" s="1295"/>
      <c r="I68" s="524"/>
    </row>
    <row r="69" spans="1:9">
      <c r="D69" s="1295"/>
      <c r="E69" s="1295"/>
      <c r="F69" s="1295"/>
      <c r="I69" s="524" t="s">
        <v>2077</v>
      </c>
    </row>
    <row r="70" spans="1:9">
      <c r="D70" s="1295"/>
      <c r="E70" s="1295"/>
      <c r="F70" s="1295"/>
      <c r="I70" s="524"/>
    </row>
    <row r="71" spans="1:9">
      <c r="I71" s="524"/>
    </row>
    <row r="72" spans="1:9" ht="14.25">
      <c r="A72" s="518"/>
      <c r="B72" s="519" t="s">
        <v>2771</v>
      </c>
      <c r="D72" s="1295" t="s">
        <v>1164</v>
      </c>
      <c r="E72" s="1295"/>
      <c r="F72" s="1295"/>
      <c r="I72" s="524" t="s">
        <v>2077</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9" customHeight="1">
      <c r="A80" s="518"/>
      <c r="B80" s="519" t="s">
        <v>2770</v>
      </c>
      <c r="D80" s="1295" t="s">
        <v>1353</v>
      </c>
      <c r="E80" s="1295"/>
      <c r="F80" s="1295"/>
      <c r="I80" s="524" t="s">
        <v>2078</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2770</v>
      </c>
      <c r="D89" s="1295" t="s">
        <v>1932</v>
      </c>
      <c r="E89" s="1295"/>
      <c r="F89" s="1295"/>
      <c r="I89" s="524" t="s">
        <v>2079</v>
      </c>
    </row>
    <row r="90" spans="1:9" ht="14.25">
      <c r="A90" s="518"/>
      <c r="B90" s="518"/>
      <c r="D90" s="1295"/>
      <c r="E90" s="1295"/>
      <c r="F90" s="1295"/>
      <c r="I90" s="524"/>
    </row>
    <row r="91" spans="1:9" ht="14.25">
      <c r="A91" s="518"/>
      <c r="B91" s="518"/>
      <c r="D91" s="479"/>
      <c r="E91" s="479"/>
      <c r="F91" s="479"/>
      <c r="I91" s="524"/>
    </row>
    <row r="92" spans="1:9" ht="14.25">
      <c r="A92" s="518"/>
      <c r="B92" s="519" t="s">
        <v>2770</v>
      </c>
      <c r="D92" s="1295" t="s">
        <v>1935</v>
      </c>
      <c r="E92" s="1295"/>
      <c r="F92" s="1295"/>
      <c r="I92" s="524" t="s">
        <v>2080</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2770</v>
      </c>
      <c r="D96" s="1295" t="s">
        <v>1934</v>
      </c>
      <c r="E96" s="1295"/>
      <c r="F96" s="1295"/>
      <c r="I96" s="524" t="s">
        <v>2125</v>
      </c>
    </row>
    <row r="97" spans="1:9" s="1022" customFormat="1" ht="14.25">
      <c r="A97" s="1020"/>
      <c r="B97" s="1020"/>
      <c r="C97" s="1021"/>
      <c r="D97" s="1295"/>
      <c r="E97" s="1295"/>
      <c r="F97" s="1295"/>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2771</v>
      </c>
      <c r="D100" s="1295" t="s">
        <v>1933</v>
      </c>
      <c r="E100" s="1295"/>
      <c r="F100" s="1295"/>
      <c r="I100" s="524" t="s">
        <v>2081</v>
      </c>
    </row>
    <row r="101" spans="1:9" ht="14.25">
      <c r="A101" s="518"/>
      <c r="B101" s="518"/>
      <c r="D101" s="1295"/>
      <c r="E101" s="1295"/>
      <c r="F101" s="1295"/>
      <c r="I101" s="524"/>
    </row>
    <row r="102" spans="1:9" ht="14.25">
      <c r="A102" s="518"/>
      <c r="B102" s="518"/>
      <c r="D102" s="479"/>
      <c r="E102" s="479"/>
      <c r="F102" s="479"/>
      <c r="I102" s="524"/>
    </row>
    <row r="103" spans="1:9" ht="14.65" customHeight="1">
      <c r="A103" s="518"/>
      <c r="B103" s="519" t="s">
        <v>2771</v>
      </c>
      <c r="D103" s="1295" t="s">
        <v>1300</v>
      </c>
      <c r="E103" s="1295"/>
      <c r="F103" s="1295"/>
      <c r="I103" s="524" t="s">
        <v>2082</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2771</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2770</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2770</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2770</v>
      </c>
      <c r="D137" s="1295" t="s">
        <v>1175</v>
      </c>
      <c r="E137" s="1295"/>
      <c r="F137" s="1295"/>
      <c r="I137" s="524" t="s">
        <v>2084</v>
      </c>
    </row>
    <row r="138" spans="1:9" s="448" customFormat="1" ht="13.9" customHeight="1">
      <c r="A138" s="522"/>
      <c r="B138" s="522"/>
      <c r="C138" s="522"/>
      <c r="D138" s="1295"/>
      <c r="E138" s="1295"/>
      <c r="F138" s="1295"/>
      <c r="I138" s="1261"/>
    </row>
    <row r="139" spans="1:9" ht="13.9" customHeight="1">
      <c r="D139" s="1295"/>
      <c r="E139" s="1295"/>
      <c r="F139" s="1295"/>
      <c r="I139" s="524"/>
    </row>
    <row r="140" spans="1:9" ht="13.9" customHeight="1">
      <c r="D140" s="1295"/>
      <c r="E140" s="1295"/>
      <c r="F140" s="1295"/>
      <c r="I140" s="524"/>
    </row>
    <row r="141" spans="1:9" ht="13.9" customHeight="1">
      <c r="D141" s="1295"/>
      <c r="E141" s="1295"/>
      <c r="F141" s="1295"/>
      <c r="I141" s="524"/>
    </row>
    <row r="142" spans="1:9" ht="13.9" customHeight="1">
      <c r="A142" s="523"/>
      <c r="B142" s="523"/>
      <c r="D142" s="1295"/>
      <c r="E142" s="1295"/>
      <c r="F142" s="1295"/>
      <c r="I142" s="524"/>
    </row>
    <row r="143" spans="1:9" ht="13.9" customHeight="1">
      <c r="D143" s="1295"/>
      <c r="E143" s="1295"/>
      <c r="F143" s="1295"/>
      <c r="I143" s="524"/>
    </row>
    <row r="144" spans="1:9" ht="13.9" customHeight="1">
      <c r="D144" s="1295"/>
      <c r="E144" s="1295"/>
      <c r="F144" s="1295"/>
      <c r="I144" s="524"/>
    </row>
    <row r="145" spans="2:9" ht="13.9" customHeight="1">
      <c r="D145" s="1295"/>
      <c r="E145" s="1295"/>
      <c r="F145" s="1295"/>
      <c r="I145" s="524"/>
    </row>
    <row r="146" spans="2:9" ht="13.9" customHeight="1">
      <c r="D146" s="1295"/>
      <c r="E146" s="1295"/>
      <c r="F146" s="1295"/>
      <c r="I146" s="524"/>
    </row>
    <row r="147" spans="2:9" ht="13.9" customHeight="1">
      <c r="D147" s="1295"/>
      <c r="E147" s="1295"/>
      <c r="F147" s="1295"/>
      <c r="I147" s="524"/>
    </row>
    <row r="148" spans="2:9" ht="13.9" customHeight="1">
      <c r="D148" s="1295"/>
      <c r="E148" s="1295"/>
      <c r="F148" s="1295"/>
      <c r="I148" s="524"/>
    </row>
    <row r="149" spans="2:9" ht="13.9" customHeight="1">
      <c r="D149" s="1295"/>
      <c r="E149" s="1295"/>
      <c r="F149" s="1295"/>
      <c r="I149" s="524"/>
    </row>
    <row r="150" spans="2:9" ht="13.9" customHeight="1">
      <c r="D150" s="510"/>
      <c r="E150" s="480"/>
      <c r="F150" s="480"/>
      <c r="I150" s="524"/>
    </row>
    <row r="151" spans="2:9" ht="13.9" customHeight="1">
      <c r="B151" s="519" t="s">
        <v>2771</v>
      </c>
      <c r="D151" s="1295" t="s">
        <v>1283</v>
      </c>
      <c r="E151" s="1295"/>
      <c r="F151" s="1295"/>
      <c r="I151" s="524" t="s">
        <v>2085</v>
      </c>
    </row>
    <row r="152" spans="2:9" ht="13.9" customHeight="1">
      <c r="D152" s="1295"/>
      <c r="E152" s="1295"/>
      <c r="F152" s="1295"/>
      <c r="I152" s="524"/>
    </row>
    <row r="153" spans="2:9" ht="13.9" customHeight="1">
      <c r="D153" s="1295"/>
      <c r="E153" s="1295"/>
      <c r="F153" s="1295"/>
      <c r="I153" s="524"/>
    </row>
    <row r="154" spans="2:9" ht="13.9" customHeight="1">
      <c r="D154" s="1295"/>
      <c r="E154" s="1295"/>
      <c r="F154" s="1295"/>
      <c r="I154" s="524"/>
    </row>
    <row r="155" spans="2:9" ht="13.9" customHeight="1">
      <c r="D155" s="1295"/>
      <c r="E155" s="1295"/>
      <c r="F155" s="1295"/>
      <c r="I155" s="524"/>
    </row>
    <row r="156" spans="2:9" ht="13.9" customHeight="1">
      <c r="D156" s="1295"/>
      <c r="E156" s="1295"/>
      <c r="F156" s="1295"/>
      <c r="I156" s="524"/>
    </row>
    <row r="157" spans="2:9" ht="13.9" customHeight="1">
      <c r="D157" s="1295"/>
      <c r="E157" s="1295"/>
      <c r="F157" s="1295"/>
      <c r="I157" s="524"/>
    </row>
    <row r="158" spans="2:9" ht="13.9" customHeight="1">
      <c r="D158" s="1295"/>
      <c r="E158" s="1295"/>
      <c r="F158" s="1295"/>
      <c r="I158" s="524"/>
    </row>
    <row r="159" spans="2:9" ht="13.9" customHeight="1">
      <c r="D159" s="1295"/>
      <c r="E159" s="1295"/>
      <c r="F159" s="1295"/>
      <c r="I159" s="524"/>
    </row>
    <row r="160" spans="2:9" ht="13.9" customHeight="1">
      <c r="D160" s="1295"/>
      <c r="E160" s="1295"/>
      <c r="F160" s="1295"/>
      <c r="I160" s="524"/>
    </row>
    <row r="161" spans="1:9" ht="13.9" customHeight="1">
      <c r="D161" s="1295"/>
      <c r="E161" s="1295"/>
      <c r="F161" s="1295"/>
      <c r="I161" s="524"/>
    </row>
    <row r="162" spans="1:9" ht="13.9" customHeight="1">
      <c r="D162" s="1295"/>
      <c r="E162" s="1295"/>
      <c r="F162" s="1295"/>
      <c r="I162" s="524"/>
    </row>
    <row r="163" spans="1:9" ht="13.9" customHeight="1">
      <c r="D163" s="1295"/>
      <c r="E163" s="1295"/>
      <c r="F163" s="1295"/>
      <c r="I163" s="524"/>
    </row>
    <row r="164" spans="1:9" ht="13.9" customHeight="1">
      <c r="D164" s="1295"/>
      <c r="E164" s="1295"/>
      <c r="F164" s="1295"/>
      <c r="I164" s="524"/>
    </row>
    <row r="165" spans="1:9" ht="13.9" customHeight="1">
      <c r="D165" s="1295"/>
      <c r="E165" s="1295"/>
      <c r="F165" s="1295"/>
      <c r="I165" s="524"/>
    </row>
    <row r="166" spans="1:9" ht="13.9" customHeight="1">
      <c r="D166" s="1295"/>
      <c r="E166" s="1295"/>
      <c r="F166" s="1295"/>
      <c r="I166" s="524"/>
    </row>
    <row r="167" spans="1:9" ht="13.9" customHeight="1">
      <c r="D167" s="1295"/>
      <c r="E167" s="1295"/>
      <c r="F167" s="1295"/>
      <c r="I167" s="524"/>
    </row>
    <row r="168" spans="1:9" ht="13.9" customHeight="1">
      <c r="D168" s="1295"/>
      <c r="E168" s="1295"/>
      <c r="F168" s="1295"/>
      <c r="I168" s="524"/>
    </row>
    <row r="169" spans="1:9" ht="13.9" customHeight="1">
      <c r="D169" s="1340" t="s">
        <v>2388</v>
      </c>
      <c r="E169" s="1340"/>
      <c r="F169" s="1340"/>
      <c r="G169" s="541"/>
      <c r="I169" s="524"/>
    </row>
    <row r="170" spans="1:9" ht="13.9" customHeight="1">
      <c r="D170" s="1281"/>
      <c r="E170" s="1281"/>
      <c r="F170" s="1281"/>
      <c r="G170" s="1281"/>
      <c r="I170" s="524"/>
    </row>
    <row r="171" spans="1:9" ht="14.65" customHeight="1">
      <c r="A171" s="523"/>
      <c r="B171" s="519" t="s">
        <v>2771</v>
      </c>
      <c r="C171" s="510"/>
      <c r="D171" s="1277" t="s">
        <v>2578</v>
      </c>
      <c r="E171" s="1277"/>
      <c r="F171" s="1277"/>
      <c r="G171" s="510"/>
      <c r="I171" s="524" t="s">
        <v>2080</v>
      </c>
    </row>
    <row r="172" spans="1:9" ht="14.65" customHeight="1">
      <c r="A172" s="523"/>
      <c r="B172" s="523"/>
      <c r="C172" s="510"/>
      <c r="D172" s="1277"/>
      <c r="E172" s="1277"/>
      <c r="F172" s="1277"/>
      <c r="G172" s="510"/>
      <c r="I172" s="524"/>
    </row>
    <row r="173" spans="1:9" ht="14.65" customHeight="1">
      <c r="A173" s="523"/>
      <c r="B173" s="523"/>
      <c r="C173" s="510"/>
      <c r="D173" s="1277"/>
      <c r="E173" s="1277"/>
      <c r="F173" s="1277"/>
      <c r="G173" s="510"/>
      <c r="I173" s="524"/>
    </row>
    <row r="174" spans="1:9" ht="14.65" customHeight="1">
      <c r="A174" s="523"/>
      <c r="B174" s="523"/>
      <c r="C174" s="510"/>
      <c r="D174" s="1277"/>
      <c r="E174" s="1277"/>
      <c r="F174" s="1277"/>
      <c r="G174" s="510"/>
      <c r="I174" s="524"/>
    </row>
    <row r="175" spans="1:9" ht="13.9" customHeight="1">
      <c r="A175" s="523"/>
      <c r="B175" s="523"/>
      <c r="C175" s="510"/>
      <c r="D175" s="1277"/>
      <c r="E175" s="1277"/>
      <c r="F175" s="1277"/>
      <c r="G175" s="510"/>
      <c r="I175" s="524"/>
    </row>
    <row r="176" spans="1:9" ht="13.9" customHeight="1">
      <c r="A176" s="523"/>
      <c r="B176" s="523"/>
      <c r="C176" s="510"/>
      <c r="D176" s="510"/>
      <c r="E176" s="510"/>
      <c r="F176" s="510"/>
      <c r="G176" s="510"/>
      <c r="I176" s="524"/>
    </row>
    <row r="177" spans="1:9" ht="13.9" customHeight="1">
      <c r="A177" s="523"/>
      <c r="B177" s="519" t="s">
        <v>2770</v>
      </c>
      <c r="C177" s="510"/>
      <c r="D177" s="1277" t="s">
        <v>1177</v>
      </c>
      <c r="E177" s="1277"/>
      <c r="F177" s="1277"/>
      <c r="G177" s="510"/>
      <c r="I177" s="524" t="s">
        <v>2086</v>
      </c>
    </row>
    <row r="178" spans="1:9" ht="13.9" customHeight="1">
      <c r="A178" s="523"/>
      <c r="B178" s="523"/>
      <c r="C178" s="510"/>
      <c r="D178" s="1277"/>
      <c r="E178" s="1277"/>
      <c r="F178" s="1277"/>
      <c r="G178" s="510"/>
      <c r="I178" s="524"/>
    </row>
    <row r="179" spans="1:9" ht="13.9" customHeight="1">
      <c r="A179" s="523"/>
      <c r="B179" s="523"/>
      <c r="C179" s="510"/>
      <c r="D179" s="1277"/>
      <c r="E179" s="1277"/>
      <c r="F179" s="1277"/>
      <c r="G179" s="510"/>
      <c r="I179" s="524"/>
    </row>
    <row r="180" spans="1:9" ht="13.9" customHeight="1">
      <c r="A180" s="523"/>
      <c r="B180" s="523"/>
      <c r="C180" s="510"/>
      <c r="D180" s="1277"/>
      <c r="E180" s="1277"/>
      <c r="F180" s="1277"/>
      <c r="G180" s="510"/>
      <c r="I180" s="524"/>
    </row>
    <row r="181" spans="1:9" ht="13.9" customHeight="1">
      <c r="D181" s="480"/>
      <c r="E181" s="480"/>
      <c r="F181" s="480"/>
      <c r="I181" s="524"/>
    </row>
    <row r="182" spans="1:9" ht="13.9" customHeight="1">
      <c r="B182" s="519" t="s">
        <v>2771</v>
      </c>
      <c r="D182" s="1282" t="s">
        <v>2365</v>
      </c>
      <c r="E182" s="1282"/>
      <c r="F182" s="1282"/>
      <c r="I182" s="524" t="s">
        <v>2087</v>
      </c>
    </row>
    <row r="183" spans="1:9" ht="13.9" customHeight="1">
      <c r="D183" s="1282"/>
      <c r="E183" s="1282"/>
      <c r="F183" s="1282"/>
      <c r="I183" s="524"/>
    </row>
    <row r="184" spans="1:9" ht="13.9" customHeight="1">
      <c r="D184" s="1282"/>
      <c r="E184" s="1282"/>
      <c r="F184" s="1282"/>
      <c r="I184" s="524"/>
    </row>
    <row r="185" spans="1:9" ht="13.9"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9"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2770</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2771</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2771</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2771</v>
      </c>
      <c r="D209" s="417" t="s">
        <v>2195</v>
      </c>
      <c r="E209" s="416"/>
      <c r="F209" s="416"/>
      <c r="I209" s="524" t="s">
        <v>2139</v>
      </c>
    </row>
    <row r="210" spans="1:9" ht="14.25">
      <c r="A210" s="518"/>
      <c r="B210" s="518"/>
      <c r="D210" s="1279" t="s">
        <v>2202</v>
      </c>
      <c r="E210" s="1279"/>
      <c r="F210" s="1279"/>
      <c r="I210" s="524"/>
    </row>
    <row r="211" spans="1:9">
      <c r="D211" s="416"/>
      <c r="E211" s="1343" t="s">
        <v>2228</v>
      </c>
      <c r="F211" s="1343"/>
      <c r="I211" s="524"/>
    </row>
    <row r="212" spans="1:9">
      <c r="D212" s="481"/>
      <c r="I212" s="524"/>
    </row>
    <row r="213" spans="1:9">
      <c r="B213" s="519" t="s">
        <v>2771</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25">
      <c r="A217" s="518"/>
      <c r="B217" s="519" t="s">
        <v>2771</v>
      </c>
      <c r="D217" s="1295" t="s">
        <v>1322</v>
      </c>
      <c r="E217" s="1295"/>
      <c r="F217" s="1295"/>
      <c r="I217" s="524"/>
    </row>
    <row r="218" spans="1:9" ht="14.6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9" customHeight="1">
      <c r="A227" s="524"/>
      <c r="C227" s="524"/>
      <c r="D227" s="1294" t="s">
        <v>554</v>
      </c>
      <c r="E227" s="1294"/>
      <c r="F227" s="1294"/>
      <c r="I227" s="524" t="s">
        <v>2088</v>
      </c>
    </row>
    <row r="228" spans="1:9" ht="14.25">
      <c r="A228" s="518"/>
      <c r="B228" s="519" t="s">
        <v>2770</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2770</v>
      </c>
      <c r="D233" s="1295" t="s">
        <v>1944</v>
      </c>
      <c r="E233" s="1295"/>
      <c r="F233" s="1295"/>
      <c r="I233" s="524" t="s">
        <v>2089</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2088</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2770</v>
      </c>
      <c r="D245" s="1295" t="s">
        <v>2367</v>
      </c>
      <c r="E245" s="1295"/>
      <c r="F245" s="1295"/>
      <c r="I245" s="524" t="s">
        <v>2127</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2196</v>
      </c>
      <c r="I248" s="524"/>
    </row>
    <row r="249" spans="1:9" ht="14.25">
      <c r="A249" s="518"/>
      <c r="B249" s="518"/>
      <c r="D249" s="480"/>
      <c r="E249" s="480"/>
      <c r="F249" s="480"/>
      <c r="I249" s="524"/>
    </row>
    <row r="250" spans="1:9" ht="14.65" customHeight="1">
      <c r="A250" s="518"/>
      <c r="B250" s="519" t="s">
        <v>2770</v>
      </c>
      <c r="D250" s="1295" t="s">
        <v>2368</v>
      </c>
      <c r="E250" s="1295"/>
      <c r="F250" s="1295"/>
      <c r="I250" s="524" t="s">
        <v>2145</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2770</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2770</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65" customHeight="1">
      <c r="A267" s="518"/>
      <c r="B267" s="519" t="s">
        <v>2770</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65" customHeight="1">
      <c r="A271" s="518"/>
      <c r="B271" s="519" t="s">
        <v>2771</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2771</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2771</v>
      </c>
      <c r="D290" s="1295" t="s">
        <v>1211</v>
      </c>
      <c r="E290" s="1295"/>
      <c r="F290" s="1295"/>
      <c r="I290" s="524" t="s">
        <v>2090</v>
      </c>
    </row>
    <row r="291" spans="1:9" ht="14.25">
      <c r="A291" s="518"/>
      <c r="B291" s="518"/>
      <c r="D291" s="1295"/>
      <c r="E291" s="1295"/>
      <c r="F291" s="1295"/>
      <c r="I291" s="524"/>
    </row>
    <row r="292" spans="1:9">
      <c r="D292" s="480"/>
      <c r="E292" s="480"/>
      <c r="F292" s="480"/>
      <c r="I292" s="524"/>
    </row>
    <row r="293" spans="1:9" ht="14.25">
      <c r="A293" s="518"/>
      <c r="B293" s="519" t="s">
        <v>2771</v>
      </c>
      <c r="D293" s="1295" t="s">
        <v>1212</v>
      </c>
      <c r="E293" s="1295"/>
      <c r="F293" s="1295"/>
      <c r="I293" s="524" t="s">
        <v>2090</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2771</v>
      </c>
      <c r="D297" s="1295" t="s">
        <v>1213</v>
      </c>
      <c r="E297" s="1295"/>
      <c r="F297" s="1295"/>
      <c r="I297" s="524" t="s">
        <v>2090</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2771</v>
      </c>
      <c r="D305" s="1296" t="s">
        <v>1215</v>
      </c>
      <c r="E305" s="1296"/>
      <c r="F305" s="1296"/>
      <c r="I305" s="524" t="s">
        <v>2091</v>
      </c>
    </row>
    <row r="306" spans="1:9" ht="14.25">
      <c r="A306" s="518"/>
      <c r="B306" s="518"/>
      <c r="D306" s="528"/>
      <c r="E306" s="529"/>
      <c r="F306" s="529"/>
      <c r="I306" s="524"/>
    </row>
    <row r="307" spans="1:9" ht="13.9" customHeight="1">
      <c r="B307" s="519" t="s">
        <v>2771</v>
      </c>
      <c r="D307" s="1349" t="s">
        <v>1325</v>
      </c>
      <c r="E307" s="1349"/>
      <c r="F307" s="1349"/>
      <c r="I307" s="524" t="s">
        <v>2091</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9" customHeight="1">
      <c r="B313" s="519" t="s">
        <v>2771</v>
      </c>
      <c r="D313" s="1349" t="s">
        <v>1217</v>
      </c>
      <c r="E313" s="1349"/>
      <c r="F313" s="1349"/>
      <c r="I313" s="524" t="s">
        <v>2091</v>
      </c>
    </row>
    <row r="314" spans="1:9">
      <c r="D314" s="1349"/>
      <c r="E314" s="1349"/>
      <c r="F314" s="1349"/>
      <c r="I314" s="524"/>
    </row>
    <row r="315" spans="1:9" ht="14.25">
      <c r="A315" s="518"/>
      <c r="B315" s="518"/>
      <c r="D315" s="528"/>
      <c r="E315" s="529"/>
      <c r="F315" s="529"/>
      <c r="I315" s="524"/>
    </row>
    <row r="316" spans="1:9">
      <c r="B316" s="519" t="s">
        <v>2771</v>
      </c>
      <c r="D316" s="1296" t="s">
        <v>1218</v>
      </c>
      <c r="E316" s="1296"/>
      <c r="F316" s="1296"/>
      <c r="I316" s="524" t="s">
        <v>2077</v>
      </c>
    </row>
    <row r="317" spans="1:9">
      <c r="E317" s="480"/>
      <c r="F317" s="480"/>
      <c r="I317" s="524"/>
    </row>
    <row r="318" spans="1:9" ht="14.25">
      <c r="A318" s="518"/>
      <c r="B318" s="519" t="s">
        <v>2771</v>
      </c>
      <c r="D318" s="1295" t="s">
        <v>2389</v>
      </c>
      <c r="E318" s="1295"/>
      <c r="F318" s="1295"/>
      <c r="I318" s="524" t="s">
        <v>2092</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2771</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2771</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25">
      <c r="A355" s="518"/>
      <c r="B355" s="519" t="s">
        <v>2771</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2771</v>
      </c>
      <c r="C360" s="510"/>
      <c r="D360" s="1281" t="s">
        <v>2371</v>
      </c>
      <c r="E360" s="1281"/>
      <c r="F360" s="1281"/>
      <c r="I360" s="514"/>
    </row>
    <row r="361" spans="1:9">
      <c r="A361" s="510"/>
      <c r="B361" s="510"/>
      <c r="C361" s="510"/>
      <c r="D361" s="481"/>
      <c r="E361" s="481"/>
      <c r="F361" s="480"/>
      <c r="I361" s="524"/>
    </row>
    <row r="362" spans="1:9">
      <c r="A362" s="510"/>
      <c r="B362" s="519" t="s">
        <v>2771</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2771</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2771</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2771</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9"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2771</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65" customHeight="1">
      <c r="A423" s="518"/>
      <c r="B423" s="519" t="s">
        <v>2771</v>
      </c>
      <c r="D423" s="1277" t="s">
        <v>2130</v>
      </c>
      <c r="E423" s="1277"/>
      <c r="F423" s="1277"/>
      <c r="I423" s="524"/>
    </row>
    <row r="424" spans="1:9" ht="14.65" customHeight="1">
      <c r="A424" s="518"/>
      <c r="D424" s="1277"/>
      <c r="E424" s="1277"/>
      <c r="F424" s="1277"/>
      <c r="I424" s="524"/>
    </row>
    <row r="425" spans="1:9" ht="14.65" customHeight="1">
      <c r="A425" s="518"/>
      <c r="D425" s="1277"/>
      <c r="E425" s="1277"/>
      <c r="F425" s="1277"/>
      <c r="I425" s="524"/>
    </row>
    <row r="426" spans="1:9" ht="14.65" customHeight="1">
      <c r="A426" s="518"/>
      <c r="D426" s="1277"/>
      <c r="E426" s="1277"/>
      <c r="F426" s="1277"/>
      <c r="I426" s="524"/>
    </row>
    <row r="427" spans="1:9" ht="14.65" customHeight="1">
      <c r="A427" s="518"/>
      <c r="D427" s="1277"/>
      <c r="E427" s="1277"/>
      <c r="F427" s="1277"/>
      <c r="I427" s="524"/>
    </row>
    <row r="428" spans="1:9" ht="14.65" customHeight="1">
      <c r="A428" s="518"/>
      <c r="D428" s="416"/>
      <c r="E428" s="416"/>
      <c r="F428" s="416"/>
      <c r="I428" s="524"/>
    </row>
    <row r="429" spans="1:9" ht="13.9" customHeight="1">
      <c r="A429" s="518"/>
      <c r="B429" s="519" t="s">
        <v>2771</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25">
      <c r="A435" s="518"/>
      <c r="B435" s="519" t="s">
        <v>2771</v>
      </c>
      <c r="C435" s="521"/>
      <c r="D435" s="1295" t="s">
        <v>2373</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9" customHeight="1">
      <c r="D465" s="1295"/>
      <c r="E465" s="1295"/>
      <c r="F465" s="1295"/>
      <c r="I465" s="524"/>
    </row>
    <row r="466" spans="1:9">
      <c r="D466" s="480"/>
      <c r="E466" s="480"/>
      <c r="F466" s="480"/>
      <c r="I466" s="524"/>
    </row>
    <row r="467" spans="1:9" ht="14.25">
      <c r="A467" s="518"/>
      <c r="B467" s="519" t="s">
        <v>2771</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2771</v>
      </c>
      <c r="C471" s="518"/>
      <c r="D471" s="1295" t="s">
        <v>1303</v>
      </c>
      <c r="E471" s="1295"/>
      <c r="F471" s="1295"/>
      <c r="I471" s="524"/>
    </row>
    <row r="472" spans="1:9">
      <c r="D472" s="1295"/>
      <c r="E472" s="1295"/>
      <c r="F472" s="1295"/>
      <c r="I472" s="524"/>
    </row>
    <row r="473" spans="1:9">
      <c r="D473" s="480"/>
      <c r="E473" s="480"/>
      <c r="F473" s="480"/>
      <c r="I473" s="524"/>
    </row>
    <row r="474" spans="1:9" ht="14.25">
      <c r="B474" s="519" t="s">
        <v>2771</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2771</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2771</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2771</v>
      </c>
      <c r="C486" s="433"/>
      <c r="D486" s="1295"/>
      <c r="E486" s="1295"/>
      <c r="F486" s="1295"/>
      <c r="I486" s="524"/>
    </row>
    <row r="487" spans="1:9">
      <c r="A487" s="433"/>
      <c r="C487" s="433"/>
      <c r="D487" s="1295"/>
      <c r="E487" s="1295"/>
      <c r="F487" s="1295"/>
      <c r="I487" s="524"/>
    </row>
    <row r="488" spans="1:9">
      <c r="A488" s="433"/>
      <c r="B488" s="519" t="s">
        <v>2771</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2771</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2771</v>
      </c>
      <c r="D501" s="1277" t="s">
        <v>1239</v>
      </c>
      <c r="E501" s="1277"/>
      <c r="F501" s="1277"/>
      <c r="I501" s="524" t="s">
        <v>2094</v>
      </c>
    </row>
    <row r="502" spans="1:9" ht="14.25">
      <c r="A502" s="518"/>
      <c r="B502" s="518"/>
      <c r="D502" s="1277"/>
      <c r="E502" s="1277"/>
      <c r="F502" s="1277"/>
      <c r="I502" s="524"/>
    </row>
    <row r="503" spans="1:9" ht="14.25">
      <c r="A503" s="518"/>
      <c r="B503" s="518"/>
      <c r="D503" s="480"/>
      <c r="I503" s="524"/>
    </row>
    <row r="504" spans="1:9" ht="12.75" customHeight="1">
      <c r="B504" s="519" t="s">
        <v>2771</v>
      </c>
      <c r="D504" s="1282" t="s">
        <v>1383</v>
      </c>
      <c r="E504" s="1282"/>
      <c r="F504" s="1282"/>
      <c r="I504" s="524" t="s">
        <v>2095</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2771</v>
      </c>
      <c r="D509" s="1296" t="s">
        <v>1242</v>
      </c>
      <c r="E509" s="1296"/>
      <c r="F509" s="1296"/>
      <c r="I509" s="524" t="s">
        <v>2096</v>
      </c>
    </row>
    <row r="510" spans="1:9" ht="14.25">
      <c r="A510" s="518"/>
      <c r="B510" s="518"/>
      <c r="D510" s="480"/>
      <c r="I510" s="524"/>
    </row>
    <row r="511" spans="1:9" ht="14.25">
      <c r="A511" s="518"/>
      <c r="B511" s="519" t="s">
        <v>2771</v>
      </c>
      <c r="D511" s="1295" t="s">
        <v>1243</v>
      </c>
      <c r="E511" s="1295"/>
      <c r="F511" s="1295"/>
      <c r="I511" s="524" t="s">
        <v>2096</v>
      </c>
    </row>
    <row r="512" spans="1:9" ht="14.25">
      <c r="A512" s="518"/>
      <c r="D512" s="1295"/>
      <c r="E512" s="1295"/>
      <c r="F512" s="1295"/>
      <c r="I512" s="524"/>
    </row>
    <row r="513" spans="1:9">
      <c r="A513" s="524"/>
      <c r="B513" s="524"/>
      <c r="D513" s="481"/>
      <c r="I513" s="524"/>
    </row>
    <row r="514" spans="1:9">
      <c r="A514" s="524"/>
      <c r="B514" s="519" t="s">
        <v>2771</v>
      </c>
      <c r="D514" s="1296" t="s">
        <v>1244</v>
      </c>
      <c r="E514" s="1296"/>
      <c r="F514" s="1296"/>
      <c r="I514" s="524" t="s">
        <v>2149</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9" customHeight="1">
      <c r="A522" s="517"/>
      <c r="B522" s="519" t="s">
        <v>2770</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2771</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2771</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9" customHeight="1">
      <c r="A543" s="518"/>
      <c r="B543" s="519" t="s">
        <v>2770</v>
      </c>
      <c r="C543" s="521"/>
      <c r="D543" s="1296" t="s">
        <v>896</v>
      </c>
      <c r="E543" s="1296"/>
      <c r="F543" s="1296"/>
      <c r="I543" s="524" t="s">
        <v>2147</v>
      </c>
    </row>
    <row r="544" spans="1:9" ht="13.9" customHeight="1">
      <c r="A544" s="521"/>
      <c r="B544" s="521"/>
      <c r="C544" s="521"/>
      <c r="D544" s="480"/>
      <c r="I544" s="524"/>
    </row>
    <row r="545" spans="1:9" ht="14.25">
      <c r="A545" s="518"/>
      <c r="B545" s="519" t="s">
        <v>2770</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2770</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2770</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2770</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2771</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2771</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2770</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2770</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2770</v>
      </c>
      <c r="C573" s="521"/>
      <c r="D573" s="1295" t="s">
        <v>2377</v>
      </c>
      <c r="E573" s="1295"/>
      <c r="F573" s="1295"/>
      <c r="I573" s="524" t="s">
        <v>2101</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2770</v>
      </c>
      <c r="D583" s="1282" t="s">
        <v>902</v>
      </c>
      <c r="E583" s="1282"/>
      <c r="F583" s="1282"/>
      <c r="I583" s="524"/>
    </row>
    <row r="584" spans="1:9">
      <c r="A584" s="524"/>
      <c r="B584" s="524"/>
      <c r="D584" s="510"/>
      <c r="I584" s="524"/>
    </row>
    <row r="585" spans="1:9">
      <c r="A585" s="524"/>
      <c r="B585" s="519" t="s">
        <v>2770</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2770</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2770</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2771</v>
      </c>
      <c r="D597" s="1282" t="s">
        <v>1102</v>
      </c>
      <c r="E597" s="1282"/>
      <c r="F597" s="1282"/>
      <c r="I597" s="524" t="s">
        <v>2151</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2770</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2770</v>
      </c>
      <c r="D615" s="1293" t="s">
        <v>1188</v>
      </c>
      <c r="E615" s="1293"/>
      <c r="F615" s="1293"/>
      <c r="I615" s="524" t="s">
        <v>2152</v>
      </c>
    </row>
    <row r="616" spans="1:9">
      <c r="D616" s="1293"/>
      <c r="E616" s="1293"/>
      <c r="F616" s="1293"/>
      <c r="I616" s="524"/>
    </row>
    <row r="617" spans="1:9">
      <c r="I617" s="524"/>
    </row>
    <row r="618" spans="1:9">
      <c r="B618" s="519" t="s">
        <v>2770</v>
      </c>
      <c r="D618" s="1293" t="s">
        <v>1189</v>
      </c>
      <c r="E618" s="1293"/>
      <c r="F618" s="1293"/>
      <c r="I618" s="524" t="s">
        <v>2105</v>
      </c>
    </row>
    <row r="619" spans="1:9">
      <c r="C619" s="534"/>
      <c r="D619" s="1293"/>
      <c r="E619" s="1293"/>
      <c r="F619" s="1293"/>
      <c r="I619" s="524"/>
    </row>
    <row r="620" spans="1:9">
      <c r="C620" s="534"/>
      <c r="I620" s="524"/>
    </row>
    <row r="621" spans="1:9">
      <c r="B621" s="519" t="s">
        <v>2770</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2770</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2771</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2771</v>
      </c>
      <c r="C638" s="521"/>
      <c r="D638" s="1295" t="s">
        <v>1332</v>
      </c>
      <c r="E638" s="1295"/>
      <c r="F638" s="1295"/>
      <c r="I638" s="524" t="s">
        <v>2106</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2771</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2771</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65" customHeight="1">
      <c r="A652" s="518"/>
      <c r="B652" s="518"/>
      <c r="C652" s="521"/>
      <c r="D652" s="416"/>
      <c r="E652" s="416"/>
      <c r="F652" s="416"/>
      <c r="I652" s="524"/>
    </row>
    <row r="653" spans="1:9" ht="12.75" customHeight="1">
      <c r="A653" s="517"/>
      <c r="B653" s="519" t="s">
        <v>2770</v>
      </c>
      <c r="C653" s="521"/>
      <c r="D653" s="1295" t="s">
        <v>1393</v>
      </c>
      <c r="E653" s="1295"/>
      <c r="F653" s="1295"/>
      <c r="I653" s="524" t="s">
        <v>2158</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2770</v>
      </c>
      <c r="C659" s="521"/>
      <c r="D659" s="1295" t="s">
        <v>1392</v>
      </c>
      <c r="E659" s="1295"/>
      <c r="F659" s="1295"/>
      <c r="I659" s="524" t="s">
        <v>2158</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2770</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2771</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2771</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25">
      <c r="A689" s="518"/>
      <c r="B689" s="519" t="s">
        <v>2770</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2771</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2770</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2771</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2771</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2771</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2771</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2771</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2770</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9"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2770</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2771</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2771</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2771</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2771</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2770</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2770</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2771</v>
      </c>
      <c r="C782" s="1024"/>
      <c r="D782" s="1308" t="s">
        <v>1948</v>
      </c>
      <c r="E782" s="1308"/>
      <c r="F782" s="1308"/>
      <c r="G782" s="1023"/>
      <c r="I782" s="517" t="s">
        <v>2159</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2771</v>
      </c>
      <c r="C786" s="1024"/>
      <c r="D786" s="1308" t="s">
        <v>1949</v>
      </c>
      <c r="E786" s="1308"/>
      <c r="F786" s="1308"/>
      <c r="G786" s="1023"/>
      <c r="I786" s="517" t="s">
        <v>2159</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1993</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2771</v>
      </c>
      <c r="C796" s="1024"/>
      <c r="D796" s="1308" t="s">
        <v>1950</v>
      </c>
      <c r="E796" s="1308"/>
      <c r="F796" s="1308"/>
      <c r="G796" s="1023"/>
      <c r="I796" s="517" t="s">
        <v>2159</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2770</v>
      </c>
      <c r="C803" s="1024"/>
      <c r="D803" s="1308" t="s">
        <v>1951</v>
      </c>
      <c r="E803" s="1308"/>
      <c r="F803" s="1308"/>
      <c r="G803" s="1023"/>
      <c r="I803" s="517" t="s">
        <v>2159</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2771</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2770</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2770</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2771</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2771</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2771</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2770</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2770</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2770</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2771</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2771</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2770</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2770</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2770</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2771</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2771</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2771</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2771</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2770</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2770</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2770</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2771</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2771</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2771</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2771</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2770</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2770</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2771</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2770</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2770</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2770</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2771</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2771</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2770</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2770</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2771</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2770</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2771</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2771</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2770</v>
      </c>
      <c r="C1050" s="433"/>
      <c r="D1050" s="433" t="s">
        <v>2003</v>
      </c>
      <c r="I1050" s="524" t="s">
        <v>2115</v>
      </c>
    </row>
    <row r="1051" spans="1:9">
      <c r="A1051" s="433"/>
      <c r="B1051" s="433"/>
      <c r="C1051" s="433"/>
      <c r="I1051" s="524"/>
    </row>
    <row r="1052" spans="1:9">
      <c r="A1052" s="433"/>
      <c r="B1052" s="519" t="s">
        <v>2771</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2770</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2771</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2771</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2771</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2771</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2771</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2771</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2771</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2770</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2771</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940" zoomScaleNormal="100" workbookViewId="0">
      <selection activeCell="AE959" activeCellId="1" sqref="M959:S959 AE959:AK959"/>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3.1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1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1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15" customHeight="1">
      <c r="A12" s="1440" t="s">
        <v>2637</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3.1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1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2395</v>
      </c>
      <c r="C16" s="4"/>
      <c r="D16" s="4"/>
      <c r="E16" s="4"/>
      <c r="F16" s="4"/>
      <c r="G16" s="4"/>
      <c r="H16" s="1784" t="s">
        <v>2641</v>
      </c>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row>
    <row r="17" spans="1:52" ht="13.15" customHeight="1"/>
    <row r="18" spans="1:52" ht="13.15" customHeight="1">
      <c r="A18" s="57" t="s">
        <v>101</v>
      </c>
      <c r="C18" s="4"/>
      <c r="D18" s="4"/>
      <c r="E18" s="4"/>
      <c r="F18" s="4"/>
      <c r="G18" s="4"/>
      <c r="H18" s="1445" t="s">
        <v>2638</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3.15" customHeight="1"/>
    <row r="20" spans="1:52" ht="13.15" customHeight="1">
      <c r="A20" s="1441" t="s">
        <v>884</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3.15" customHeight="1">
      <c r="A21" s="1786" t="s">
        <v>1033</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1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783">
        <f>'Basis &amp; Credits'!AB56</f>
        <v>2928655</v>
      </c>
      <c r="N26" s="1783"/>
      <c r="O26" s="1783"/>
      <c r="P26" s="1783"/>
      <c r="Q26" s="1783"/>
      <c r="R26" s="4" t="s">
        <v>768</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88">
        <f>'Basis &amp; Credits'!AB77</f>
        <v>7401749</v>
      </c>
      <c r="N27" s="1388"/>
      <c r="O27" s="1388"/>
      <c r="P27" s="1388"/>
      <c r="Q27" s="1388"/>
      <c r="R27" s="3" t="s">
        <v>1377</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42" t="s">
        <v>2510</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3.1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3.1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1388</v>
      </c>
      <c r="C33" s="553"/>
      <c r="D33" s="553"/>
      <c r="E33" s="553"/>
      <c r="F33" s="553"/>
      <c r="G33" s="553"/>
      <c r="H33" s="553"/>
      <c r="I33" s="553"/>
      <c r="J33" s="553"/>
      <c r="K33" s="553"/>
      <c r="L33" s="553"/>
      <c r="M33" s="553"/>
      <c r="N33" s="553"/>
      <c r="O33" s="1403" t="s">
        <v>553</v>
      </c>
      <c r="P33" s="1403"/>
      <c r="Q33" s="1443" t="s">
        <v>2511</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3.15" customHeight="1">
      <c r="A34" s="1442" t="s">
        <v>2512</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3.1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3.1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3.1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3.15" customHeight="1">
      <c r="A38" s="3"/>
      <c r="AZ38" s="20"/>
    </row>
    <row r="39" spans="1:52" ht="13.1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1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1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1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1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1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1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1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1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1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1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1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1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1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1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44" t="s">
        <v>2519</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3.1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3.1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44" t="s">
        <v>2520</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3.1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42" t="s">
        <v>2521</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3.1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809" t="s">
        <v>2522</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3.15"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3.15"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44" t="s">
        <v>2523</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3.1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3.1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1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1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808" t="s">
        <v>2526</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3.15"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809" t="s">
        <v>2527</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3.15"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3.15"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3.15"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3.15"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3.15"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3.15"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1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1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1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1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798"/>
      <c r="H113" s="1798"/>
      <c r="I113" s="3" t="s">
        <v>182</v>
      </c>
      <c r="L113" s="1798"/>
      <c r="M113" s="1798"/>
      <c r="N113" s="1798"/>
      <c r="O113" s="1798"/>
      <c r="P113" s="1793" t="s">
        <v>2531</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13"/>
      <c r="D115" s="1813"/>
      <c r="E115" s="1813"/>
      <c r="F115" s="1813"/>
      <c r="G115" s="1813"/>
      <c r="H115" s="1813"/>
      <c r="I115" s="1813"/>
      <c r="J115" s="1813"/>
      <c r="K115" s="181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636</v>
      </c>
      <c r="Y117" s="1798"/>
      <c r="Z117" s="1798"/>
      <c r="AA117" s="1798"/>
      <c r="AB117" s="1798"/>
      <c r="AC117" s="1798"/>
      <c r="AD117" s="1798"/>
      <c r="AE117" s="1798"/>
      <c r="AF117" s="1798"/>
      <c r="AG117" s="1798"/>
      <c r="AH117" s="1798"/>
      <c r="AI117" s="1798"/>
      <c r="AJ117" s="1798"/>
      <c r="AK117" s="1798"/>
    </row>
    <row r="118" spans="1:51" ht="13.15" customHeight="1">
      <c r="X118" s="3"/>
      <c r="Y118" s="3"/>
      <c r="Z118" s="3" t="s">
        <v>637</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798"/>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798"/>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653</v>
      </c>
      <c r="O153" s="1445" t="s">
        <v>2640</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3.15" customHeight="1">
      <c r="D154" s="325" t="s">
        <v>442</v>
      </c>
      <c r="O154" s="1551" t="s">
        <v>2654</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3.15" customHeight="1">
      <c r="D155" s="8" t="s">
        <v>443</v>
      </c>
      <c r="F155" s="8"/>
      <c r="G155" s="8"/>
      <c r="H155" s="8"/>
      <c r="I155" s="8"/>
      <c r="J155" s="8"/>
      <c r="K155" s="8"/>
      <c r="L155" s="8"/>
      <c r="M155" s="8"/>
      <c r="N155" s="8"/>
      <c r="O155" s="1788" t="s">
        <v>2653</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3.15" customHeight="1">
      <c r="D156" t="s">
        <v>314</v>
      </c>
      <c r="O156" s="1445" t="s">
        <v>2655</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3.15" customHeight="1">
      <c r="D157" t="s">
        <v>315</v>
      </c>
      <c r="O157" s="1445" t="s">
        <v>2640</v>
      </c>
      <c r="P157" s="1446"/>
      <c r="Q157" s="1446"/>
      <c r="R157" s="1446"/>
      <c r="S157" s="1446"/>
      <c r="T157" s="1446"/>
      <c r="U157" s="1446"/>
      <c r="V157" s="1446"/>
      <c r="W157" s="1446"/>
      <c r="X157" s="1446"/>
      <c r="Y157" s="8"/>
      <c r="Z157" s="8"/>
      <c r="AA157" s="8"/>
      <c r="AB157" s="8"/>
      <c r="AC157" s="8"/>
      <c r="AD157" s="8"/>
      <c r="AE157" s="8"/>
      <c r="AF157" s="8"/>
      <c r="BN157" s="23" t="s">
        <v>644</v>
      </c>
      <c r="BT157" t="s">
        <v>484</v>
      </c>
    </row>
    <row r="158" spans="1:72" ht="13.15" customHeight="1">
      <c r="D158" t="s">
        <v>316</v>
      </c>
      <c r="O158" s="1790">
        <v>92236</v>
      </c>
      <c r="P158" s="1790"/>
      <c r="Q158" s="1790"/>
      <c r="R158" s="1790"/>
      <c r="S158" s="9"/>
      <c r="T158" s="9"/>
      <c r="U158" s="9"/>
      <c r="V158" s="9"/>
      <c r="W158" s="9"/>
      <c r="X158" s="9"/>
      <c r="Y158" s="9"/>
      <c r="Z158" s="9"/>
      <c r="AA158" s="9"/>
      <c r="AB158" s="9"/>
      <c r="AC158" s="9"/>
      <c r="AD158" s="9"/>
      <c r="AE158" s="9"/>
      <c r="AF158" s="9"/>
      <c r="BN158" s="23" t="s">
        <v>645</v>
      </c>
      <c r="BT158" t="s">
        <v>485</v>
      </c>
    </row>
    <row r="159" spans="1:72" ht="13.15" customHeight="1">
      <c r="D159" t="s">
        <v>317</v>
      </c>
      <c r="O159" s="1792" t="s">
        <v>2656</v>
      </c>
      <c r="P159" s="1792"/>
      <c r="Q159" s="1792"/>
      <c r="R159" s="1792"/>
      <c r="S159" s="1792"/>
      <c r="T159" s="1792"/>
      <c r="V159" s="97" t="s">
        <v>272</v>
      </c>
      <c r="W159" s="1791">
        <v>122</v>
      </c>
      <c r="X159" s="1791"/>
      <c r="Y159" s="10"/>
      <c r="Z159" s="10"/>
      <c r="AA159" s="10"/>
      <c r="AB159" s="10"/>
      <c r="AC159" s="10"/>
      <c r="AD159" s="10"/>
      <c r="AE159" s="10"/>
      <c r="AF159" s="10"/>
      <c r="BN159" s="23" t="s">
        <v>340</v>
      </c>
      <c r="BT159" t="s">
        <v>486</v>
      </c>
    </row>
    <row r="160" spans="1:72" ht="13.15" customHeight="1">
      <c r="D160" t="s">
        <v>318</v>
      </c>
      <c r="O160" s="1792" t="s">
        <v>2657</v>
      </c>
      <c r="P160" s="1792"/>
      <c r="Q160" s="1792"/>
      <c r="R160" s="1792"/>
      <c r="S160" s="1792"/>
      <c r="T160" s="1792"/>
      <c r="U160" s="10"/>
      <c r="V160" s="10"/>
      <c r="W160" s="10"/>
      <c r="X160" s="10"/>
      <c r="Y160" s="10"/>
      <c r="Z160" s="10"/>
      <c r="AA160" s="10"/>
      <c r="AB160" s="10"/>
      <c r="AC160" s="10"/>
      <c r="AD160" s="10"/>
      <c r="AE160" s="10"/>
      <c r="AF160" s="10"/>
      <c r="BN160" s="23" t="s">
        <v>668</v>
      </c>
      <c r="BT160" t="s">
        <v>487</v>
      </c>
    </row>
    <row r="161" spans="1:72" ht="13.15" customHeight="1">
      <c r="D161" t="s">
        <v>319</v>
      </c>
      <c r="O161" s="1781" t="s">
        <v>2658</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677</v>
      </c>
      <c r="BN161" s="23" t="s">
        <v>669</v>
      </c>
      <c r="BT161" t="s">
        <v>488</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1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15" customHeight="1">
      <c r="C164" s="27"/>
      <c r="D164" s="1814" t="s">
        <v>2626</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672</v>
      </c>
      <c r="BT164" t="s">
        <v>491</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15" customHeight="1">
      <c r="A169" s="1464" t="s">
        <v>547</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681</v>
      </c>
      <c r="BT169" t="s">
        <v>496</v>
      </c>
    </row>
    <row r="170" spans="1:72" ht="13.1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682</v>
      </c>
      <c r="BT170" t="s">
        <v>497</v>
      </c>
    </row>
    <row r="171" spans="1:72" ht="13.15" customHeight="1">
      <c r="BN171" s="23" t="s">
        <v>212</v>
      </c>
      <c r="BT171" t="s">
        <v>498</v>
      </c>
    </row>
    <row r="172" spans="1:72" ht="13.15" customHeight="1">
      <c r="A172" s="2" t="s">
        <v>320</v>
      </c>
      <c r="C172" s="2" t="s">
        <v>321</v>
      </c>
      <c r="BN172" s="23" t="s">
        <v>214</v>
      </c>
      <c r="BT172" t="s">
        <v>499</v>
      </c>
    </row>
    <row r="173" spans="1:72" ht="13.15" customHeight="1">
      <c r="C173" s="24"/>
      <c r="D173" t="s">
        <v>322</v>
      </c>
      <c r="J173" s="1787" t="s">
        <v>372</v>
      </c>
      <c r="K173" s="1787"/>
      <c r="L173" s="1787"/>
      <c r="M173" s="1787"/>
      <c r="N173" s="1787"/>
      <c r="O173" s="1787"/>
      <c r="P173" s="1787"/>
      <c r="Q173" s="1787"/>
      <c r="R173" s="1787"/>
      <c r="S173" s="1787"/>
      <c r="U173" s="25"/>
      <c r="X173" s="25"/>
      <c r="BB173" s="3" t="s">
        <v>308</v>
      </c>
      <c r="BN173" s="23" t="s">
        <v>215</v>
      </c>
      <c r="BT173" t="s">
        <v>500</v>
      </c>
    </row>
    <row r="174" spans="1:72" ht="13.15" customHeight="1">
      <c r="C174" s="24"/>
      <c r="D174" s="3" t="s">
        <v>1308</v>
      </c>
      <c r="J174" s="1404" t="s">
        <v>2421</v>
      </c>
      <c r="K174" s="1404"/>
      <c r="L174" s="1404"/>
      <c r="M174" s="1404"/>
      <c r="N174" s="1404"/>
      <c r="O174" s="1404"/>
      <c r="P174" s="1404"/>
      <c r="Q174" s="1404"/>
      <c r="R174" s="1404"/>
      <c r="S174" s="1404"/>
      <c r="T174" s="1404"/>
      <c r="U174" s="1404"/>
      <c r="V174" s="1404"/>
      <c r="W174" s="1404"/>
      <c r="X174" s="1404"/>
      <c r="Y174" s="1404"/>
      <c r="Z174" s="1404"/>
      <c r="AA174" s="1404"/>
      <c r="AB174" s="1404"/>
      <c r="BB174" t="s">
        <v>2274</v>
      </c>
      <c r="BN174" s="23" t="s">
        <v>217</v>
      </c>
      <c r="BT174" t="s">
        <v>501</v>
      </c>
    </row>
    <row r="175" spans="1:72" ht="13.15" customHeight="1">
      <c r="C175" s="8"/>
      <c r="D175" s="3" t="s">
        <v>323</v>
      </c>
      <c r="O175" s="27"/>
      <c r="U175" s="1403" t="s">
        <v>677</v>
      </c>
      <c r="V175" s="1403"/>
      <c r="BB175" t="s">
        <v>2238</v>
      </c>
      <c r="BN175" s="23" t="s">
        <v>218</v>
      </c>
      <c r="BT175" t="s">
        <v>502</v>
      </c>
    </row>
    <row r="176" spans="1:72" ht="13.15" customHeight="1">
      <c r="C176" s="8"/>
      <c r="D176" s="26"/>
      <c r="E176" t="s">
        <v>305</v>
      </c>
      <c r="O176" s="27"/>
      <c r="P176" t="s">
        <v>2396</v>
      </c>
      <c r="T176" s="27" t="s">
        <v>306</v>
      </c>
      <c r="U176" s="1457"/>
      <c r="V176" s="1457"/>
      <c r="W176" s="1" t="s">
        <v>307</v>
      </c>
      <c r="X176" s="1810"/>
      <c r="Y176" s="1810"/>
      <c r="BB176" t="s">
        <v>2275</v>
      </c>
      <c r="BN176" s="23" t="s">
        <v>220</v>
      </c>
      <c r="BT176" t="s">
        <v>503</v>
      </c>
    </row>
    <row r="177" spans="1:72" ht="13.15" customHeight="1">
      <c r="C177" s="24"/>
      <c r="D177" t="s">
        <v>250</v>
      </c>
      <c r="R177" s="1403" t="s">
        <v>677</v>
      </c>
      <c r="S177" s="1403"/>
      <c r="BB177" t="s">
        <v>2580</v>
      </c>
      <c r="BN177" s="23" t="s">
        <v>221</v>
      </c>
      <c r="BT177" t="s">
        <v>504</v>
      </c>
    </row>
    <row r="178" spans="1:72" ht="13.15" customHeight="1">
      <c r="C178" s="24"/>
      <c r="D178" s="3" t="s">
        <v>1309</v>
      </c>
      <c r="AA178" t="s">
        <v>2396</v>
      </c>
      <c r="AE178" s="27" t="s">
        <v>306</v>
      </c>
      <c r="AF178" s="1635"/>
      <c r="AG178" s="1635"/>
      <c r="AH178" s="1" t="s">
        <v>307</v>
      </c>
      <c r="AI178" s="1686"/>
      <c r="AJ178" s="1686"/>
      <c r="AK178" s="1686"/>
      <c r="BB178" t="s">
        <v>2581</v>
      </c>
      <c r="BN178" s="23" t="s">
        <v>222</v>
      </c>
      <c r="BT178" t="s">
        <v>53</v>
      </c>
    </row>
    <row r="179" spans="1:72" ht="13.15" customHeight="1">
      <c r="C179" s="24"/>
      <c r="BN179" s="23" t="s">
        <v>223</v>
      </c>
      <c r="BT179" t="s">
        <v>54</v>
      </c>
    </row>
    <row r="180" spans="1:72" ht="13.15" customHeight="1">
      <c r="C180" s="24"/>
      <c r="D180" t="s">
        <v>2397</v>
      </c>
      <c r="X180" s="1403" t="s">
        <v>677</v>
      </c>
      <c r="Y180" s="1403"/>
      <c r="BN180" s="23" t="s">
        <v>225</v>
      </c>
      <c r="BT180" t="s">
        <v>55</v>
      </c>
    </row>
    <row r="181" spans="1:72" ht="13.15" customHeight="1">
      <c r="C181" s="8"/>
      <c r="E181" s="4" t="s">
        <v>995</v>
      </c>
      <c r="BN181" s="23" t="s">
        <v>226</v>
      </c>
      <c r="BT181" t="s">
        <v>56</v>
      </c>
    </row>
    <row r="182" spans="1:72" ht="13.15" customHeight="1">
      <c r="C182" s="564"/>
      <c r="BN182" s="23" t="s">
        <v>227</v>
      </c>
      <c r="BT182" t="s">
        <v>60</v>
      </c>
    </row>
    <row r="183" spans="1:72" ht="13.15" customHeight="1">
      <c r="A183" s="2" t="s">
        <v>584</v>
      </c>
      <c r="C183" s="2" t="s">
        <v>585</v>
      </c>
      <c r="BN183" s="23" t="s">
        <v>229</v>
      </c>
      <c r="BT183" t="s">
        <v>61</v>
      </c>
    </row>
    <row r="184" spans="1:72" ht="13.15" customHeight="1">
      <c r="C184" s="21"/>
      <c r="D184" t="s">
        <v>586</v>
      </c>
      <c r="I184" s="1449" t="str">
        <f>H18</f>
        <v>Villa Verde</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231</v>
      </c>
      <c r="BT184" t="s">
        <v>62</v>
      </c>
    </row>
    <row r="185" spans="1:72" ht="13.15" customHeight="1">
      <c r="C185" s="21"/>
      <c r="D185" t="s">
        <v>587</v>
      </c>
      <c r="I185" s="1405" t="s">
        <v>2639</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232</v>
      </c>
      <c r="BT185" t="s">
        <v>63</v>
      </c>
    </row>
    <row r="186" spans="1:72" ht="13.15" customHeight="1">
      <c r="C186" s="21"/>
      <c r="E186" t="s">
        <v>168</v>
      </c>
      <c r="BN186" s="23" t="s">
        <v>233</v>
      </c>
      <c r="BT186" t="s">
        <v>64</v>
      </c>
    </row>
    <row r="187" spans="1:72" ht="13.1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3.1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3.15" customHeight="1">
      <c r="C189" s="21"/>
      <c r="D189" t="s">
        <v>588</v>
      </c>
      <c r="I189" s="1404" t="s">
        <v>2640</v>
      </c>
      <c r="J189" s="1404"/>
      <c r="K189" s="1404"/>
      <c r="L189" s="1404"/>
      <c r="M189" s="1404"/>
      <c r="N189" s="1404"/>
      <c r="O189" s="1404"/>
      <c r="P189" s="1404"/>
      <c r="Q189" t="s">
        <v>590</v>
      </c>
      <c r="T189" s="1404" t="s">
        <v>67</v>
      </c>
      <c r="U189" s="1404"/>
      <c r="V189" s="1404"/>
      <c r="W189" s="1404"/>
      <c r="X189" s="1404"/>
      <c r="Y189" s="1404"/>
      <c r="Z189" s="1404"/>
      <c r="AA189" s="1404"/>
      <c r="AB189" s="1404"/>
      <c r="AC189" s="1404"/>
      <c r="AD189" s="1404"/>
      <c r="AE189" s="1404"/>
      <c r="BC189" t="s">
        <v>308</v>
      </c>
      <c r="BH189" s="3" t="s">
        <v>599</v>
      </c>
      <c r="BN189" s="23" t="s">
        <v>237</v>
      </c>
      <c r="BT189" t="s">
        <v>67</v>
      </c>
    </row>
    <row r="190" spans="1:72" ht="13.15" customHeight="1">
      <c r="C190" s="21"/>
      <c r="D190" t="s">
        <v>591</v>
      </c>
      <c r="I190" s="1405">
        <v>92236</v>
      </c>
      <c r="J190" s="1405"/>
      <c r="K190" s="1405"/>
      <c r="L190" s="1405"/>
      <c r="M190" s="1405"/>
      <c r="N190" s="1405"/>
      <c r="O190" t="s">
        <v>593</v>
      </c>
      <c r="T190" s="1799">
        <v>6065045708</v>
      </c>
      <c r="U190" s="1799"/>
      <c r="V190" s="1799"/>
      <c r="W190" s="1799"/>
      <c r="X190" s="1799"/>
      <c r="Y190" s="1799"/>
      <c r="Z190" s="1799"/>
      <c r="AA190" s="1799"/>
      <c r="AB190" s="1799"/>
      <c r="AC190" s="1799"/>
      <c r="AD190" s="1799"/>
      <c r="AE190" s="1799"/>
      <c r="BC190" t="s">
        <v>1065</v>
      </c>
      <c r="BH190" t="s">
        <v>1065</v>
      </c>
      <c r="BN190" s="23" t="s">
        <v>643</v>
      </c>
      <c r="BT190" t="s">
        <v>68</v>
      </c>
    </row>
    <row r="191" spans="1:72" ht="13.15" customHeight="1">
      <c r="C191" s="21"/>
      <c r="D191" t="s">
        <v>470</v>
      </c>
      <c r="N191" s="1801"/>
      <c r="O191" s="1801"/>
      <c r="P191" s="1801"/>
      <c r="Q191" s="1801"/>
      <c r="R191" s="1801"/>
      <c r="S191" s="1801"/>
      <c r="T191" s="1801"/>
      <c r="U191" s="1801"/>
      <c r="V191" s="1801"/>
      <c r="W191" s="1801"/>
      <c r="X191" s="1801"/>
      <c r="Y191" s="1801"/>
      <c r="Z191" s="1801"/>
      <c r="AA191" s="1801"/>
      <c r="AB191" s="1801"/>
      <c r="AC191" s="1801"/>
      <c r="AD191" s="1801"/>
      <c r="AE191" s="1801"/>
      <c r="BC191" t="s">
        <v>1064</v>
      </c>
      <c r="BH191" t="s">
        <v>1064</v>
      </c>
      <c r="BN191" s="23" t="s">
        <v>697</v>
      </c>
      <c r="BT191" t="s">
        <v>736</v>
      </c>
    </row>
    <row r="192" spans="1:72" ht="13.1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1067</v>
      </c>
      <c r="BH192" s="3" t="s">
        <v>1475</v>
      </c>
      <c r="BN192" s="23" t="s">
        <v>698</v>
      </c>
      <c r="BT192" t="s">
        <v>737</v>
      </c>
    </row>
    <row r="193" spans="1:74" ht="13.15" customHeight="1">
      <c r="C193" s="21"/>
      <c r="D193" t="s">
        <v>2398</v>
      </c>
      <c r="M193" s="40"/>
      <c r="N193" s="928"/>
      <c r="O193" s="928"/>
      <c r="P193" s="928"/>
      <c r="Q193" s="928"/>
      <c r="R193" s="928"/>
      <c r="S193" s="928"/>
      <c r="T193" s="1807" t="s">
        <v>2580</v>
      </c>
      <c r="U193" s="1807"/>
      <c r="V193" s="1807"/>
      <c r="W193" s="1807"/>
      <c r="X193" s="1807"/>
      <c r="Y193" s="1807"/>
      <c r="Z193" s="1807"/>
      <c r="AA193" s="1807"/>
      <c r="AB193" s="1807"/>
      <c r="AC193" s="1807"/>
      <c r="AD193" s="1807"/>
      <c r="AE193" s="1807"/>
      <c r="AF193" s="1807"/>
      <c r="AG193" s="1807"/>
      <c r="AH193" s="1807"/>
      <c r="AI193" s="1807"/>
      <c r="BC193" t="s">
        <v>1066</v>
      </c>
      <c r="BH193" s="3" t="s">
        <v>1742</v>
      </c>
      <c r="BN193" s="23" t="s">
        <v>699</v>
      </c>
      <c r="BT193" t="s">
        <v>738</v>
      </c>
    </row>
    <row r="194" spans="1:74" ht="13.15" customHeight="1">
      <c r="C194" s="21"/>
      <c r="D194" s="3" t="s">
        <v>2582</v>
      </c>
      <c r="M194" s="40"/>
      <c r="N194" s="928"/>
      <c r="O194" s="928"/>
      <c r="P194" s="928"/>
      <c r="Q194" s="928"/>
      <c r="R194" s="928"/>
      <c r="S194" s="928"/>
      <c r="AH194" s="1403" t="s">
        <v>677</v>
      </c>
      <c r="AI194" s="1403"/>
      <c r="BC194" t="s">
        <v>1475</v>
      </c>
      <c r="BN194" s="23" t="s">
        <v>700</v>
      </c>
      <c r="BT194" t="s">
        <v>739</v>
      </c>
    </row>
    <row r="195" spans="1:74" ht="13.15" customHeight="1">
      <c r="C195" s="21"/>
      <c r="D195" t="s">
        <v>332</v>
      </c>
      <c r="T195" s="1403" t="s">
        <v>677</v>
      </c>
      <c r="U195" s="1403"/>
      <c r="W195" t="s">
        <v>693</v>
      </c>
      <c r="AH195" s="1403">
        <v>25</v>
      </c>
      <c r="AI195" s="1403"/>
      <c r="BC195" t="s">
        <v>2048</v>
      </c>
      <c r="BN195" s="23" t="s">
        <v>243</v>
      </c>
      <c r="BT195" t="s">
        <v>740</v>
      </c>
    </row>
    <row r="196" spans="1:74" ht="13.15" customHeight="1">
      <c r="C196" s="21"/>
      <c r="D196" t="s">
        <v>387</v>
      </c>
      <c r="T196" s="1434" t="s">
        <v>553</v>
      </c>
      <c r="U196" s="1434"/>
      <c r="W196" t="s">
        <v>694</v>
      </c>
      <c r="AH196" s="1403">
        <v>36</v>
      </c>
      <c r="AI196" s="1403"/>
      <c r="BN196" s="23" t="s">
        <v>244</v>
      </c>
      <c r="BT196" t="s">
        <v>69</v>
      </c>
    </row>
    <row r="197" spans="1:74" ht="13.15" customHeight="1">
      <c r="C197" s="21"/>
      <c r="D197" s="3" t="s">
        <v>169</v>
      </c>
      <c r="T197" s="1434" t="s">
        <v>677</v>
      </c>
      <c r="U197" s="1434"/>
      <c r="W197" t="s">
        <v>695</v>
      </c>
      <c r="AH197" s="1403">
        <v>18</v>
      </c>
      <c r="AI197" s="1403"/>
      <c r="BC197" t="s">
        <v>308</v>
      </c>
      <c r="BN197" s="23" t="s">
        <v>245</v>
      </c>
      <c r="BT197" t="s">
        <v>70</v>
      </c>
    </row>
    <row r="198" spans="1:74" s="14" customFormat="1" ht="13.15"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15" customHeight="1">
      <c r="A199"/>
      <c r="B199"/>
      <c r="C199" s="21"/>
      <c r="D199" s="118" t="s">
        <v>2532</v>
      </c>
      <c r="E199"/>
      <c r="F199"/>
      <c r="G199"/>
      <c r="H199"/>
      <c r="I199"/>
      <c r="J199"/>
      <c r="K199"/>
      <c r="L199"/>
      <c r="M199"/>
      <c r="N199"/>
      <c r="O199"/>
      <c r="P199"/>
      <c r="Q199"/>
      <c r="R199"/>
      <c r="S199"/>
      <c r="T199"/>
      <c r="U199"/>
      <c r="V199"/>
      <c r="W199"/>
      <c r="Z199" s="1403" t="s">
        <v>677</v>
      </c>
      <c r="AA199" s="140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1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1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15" customHeight="1">
      <c r="C202" s="21"/>
      <c r="D202" s="546"/>
      <c r="BC202" t="s">
        <v>1091</v>
      </c>
      <c r="BD202" s="469"/>
      <c r="BN202" s="23" t="s">
        <v>710</v>
      </c>
      <c r="BO202" s="14"/>
      <c r="BP202" s="32"/>
      <c r="BQ202" s="32"/>
      <c r="BR202" s="32"/>
      <c r="BS202" s="32"/>
      <c r="BT202" s="32" t="s">
        <v>196</v>
      </c>
    </row>
    <row r="203" spans="1:74" ht="13.15" customHeight="1">
      <c r="A203" s="2" t="s">
        <v>594</v>
      </c>
      <c r="C203" s="2" t="s">
        <v>136</v>
      </c>
      <c r="BC203" t="s">
        <v>1092</v>
      </c>
      <c r="BN203" s="23" t="s">
        <v>711</v>
      </c>
      <c r="BO203" s="14"/>
      <c r="BP203" s="32"/>
      <c r="BQ203" s="32"/>
      <c r="BR203" s="32"/>
      <c r="BS203" s="32"/>
      <c r="BT203" s="32" t="s">
        <v>197</v>
      </c>
    </row>
    <row r="204" spans="1:74" ht="13.15" customHeight="1">
      <c r="D204" s="1449" t="s">
        <v>386</v>
      </c>
      <c r="E204" s="1449"/>
      <c r="F204" s="1449"/>
      <c r="G204" s="1449"/>
      <c r="H204" s="1449"/>
      <c r="I204" s="1449"/>
      <c r="J204" s="1449"/>
      <c r="K204" s="1449"/>
      <c r="L204" s="1449"/>
      <c r="M204" s="1449"/>
      <c r="P204" s="1815">
        <f>M26</f>
        <v>2928655</v>
      </c>
      <c r="Q204" s="1797"/>
      <c r="R204" s="1797"/>
      <c r="S204" s="1797"/>
      <c r="T204" s="1797"/>
      <c r="U204" s="1797"/>
      <c r="Z204" s="1795" t="s">
        <v>2630</v>
      </c>
      <c r="AA204" s="1795"/>
      <c r="AB204" s="1795"/>
      <c r="AC204" s="1795"/>
      <c r="AD204" s="1795"/>
      <c r="AE204" s="1795"/>
      <c r="AF204" s="1795"/>
      <c r="BC204" t="s">
        <v>618</v>
      </c>
      <c r="BN204" s="23" t="s">
        <v>712</v>
      </c>
      <c r="BT204" s="32" t="s">
        <v>198</v>
      </c>
      <c r="BU204" s="14"/>
    </row>
    <row r="205" spans="1:74" ht="13.15" customHeight="1">
      <c r="C205" s="21"/>
      <c r="D205" s="1794" t="s">
        <v>1355</v>
      </c>
      <c r="E205" s="1449"/>
      <c r="F205" s="1449"/>
      <c r="G205" s="1449"/>
      <c r="H205" s="1449"/>
      <c r="I205" s="1449"/>
      <c r="J205" s="1449"/>
      <c r="K205" s="1449"/>
      <c r="L205" s="1449"/>
      <c r="M205" s="1449"/>
      <c r="P205" s="1797">
        <f>M27</f>
        <v>7401749</v>
      </c>
      <c r="Q205" s="1797"/>
      <c r="R205" s="1797"/>
      <c r="S205" s="1797"/>
      <c r="T205" s="1797"/>
      <c r="U205" s="1797"/>
      <c r="V205" s="28"/>
      <c r="W205" s="3" t="s">
        <v>1910</v>
      </c>
      <c r="Z205" s="1795"/>
      <c r="AA205" s="1795"/>
      <c r="AB205" s="1795"/>
      <c r="AC205" s="1795"/>
      <c r="AD205" s="1795"/>
      <c r="AE205" s="1795"/>
      <c r="AF205" s="1795"/>
      <c r="AG205" t="s">
        <v>1356</v>
      </c>
      <c r="AP205" s="1403" t="s">
        <v>677</v>
      </c>
      <c r="AQ205" s="1403"/>
      <c r="BC205" t="s">
        <v>1050</v>
      </c>
      <c r="BN205" s="23" t="s">
        <v>109</v>
      </c>
      <c r="BT205" s="32" t="s">
        <v>174</v>
      </c>
      <c r="BU205" s="14"/>
    </row>
    <row r="206" spans="1:74" ht="13.1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1093</v>
      </c>
      <c r="BN206" s="23" t="s">
        <v>110</v>
      </c>
      <c r="BT206" s="32" t="s">
        <v>199</v>
      </c>
      <c r="BU206" s="14"/>
    </row>
    <row r="207" spans="1:74" ht="13.15" customHeight="1">
      <c r="A207" s="2" t="s">
        <v>597</v>
      </c>
      <c r="C207" s="2" t="s">
        <v>559</v>
      </c>
      <c r="BC207" s="3" t="s">
        <v>2572</v>
      </c>
      <c r="BN207" s="23" t="s">
        <v>45</v>
      </c>
      <c r="BT207" s="32" t="s">
        <v>200</v>
      </c>
    </row>
    <row r="208" spans="1:74" ht="13.15" customHeight="1">
      <c r="C208" s="21"/>
      <c r="D208" s="1446" t="s">
        <v>2738</v>
      </c>
      <c r="E208" s="1446"/>
      <c r="F208" s="1446"/>
      <c r="G208" s="1446"/>
      <c r="H208" s="1446"/>
      <c r="I208" s="1446"/>
      <c r="J208" s="1446"/>
      <c r="K208" s="1446"/>
      <c r="L208" s="1446"/>
      <c r="M208" s="1446"/>
      <c r="BC208" t="s">
        <v>1094</v>
      </c>
      <c r="BN208" s="23" t="s">
        <v>46</v>
      </c>
      <c r="BT208" s="32" t="s">
        <v>201</v>
      </c>
    </row>
    <row r="209" spans="1:72" ht="13.15" customHeight="1">
      <c r="BC209" t="s">
        <v>667</v>
      </c>
      <c r="BN209" s="23" t="s">
        <v>47</v>
      </c>
      <c r="BT209" s="32" t="s">
        <v>202</v>
      </c>
    </row>
    <row r="210" spans="1:72" ht="13.15" customHeight="1">
      <c r="A210" s="2" t="s">
        <v>598</v>
      </c>
      <c r="C210" s="2" t="s">
        <v>389</v>
      </c>
      <c r="BN210" s="23" t="s">
        <v>48</v>
      </c>
      <c r="BT210" s="32" t="s">
        <v>203</v>
      </c>
    </row>
    <row r="211" spans="1:72" ht="13.15" customHeight="1">
      <c r="C211" s="21"/>
      <c r="D211" s="1446" t="s">
        <v>1065</v>
      </c>
      <c r="E211" s="1446"/>
      <c r="F211" s="1446"/>
      <c r="G211" s="1446"/>
      <c r="H211" s="1446"/>
      <c r="I211" s="1446"/>
      <c r="J211" s="1446"/>
      <c r="K211" s="1446"/>
      <c r="L211" s="1446"/>
      <c r="M211" s="1446"/>
      <c r="BN211" s="23" t="s">
        <v>129</v>
      </c>
      <c r="BT211" s="32" t="s">
        <v>130</v>
      </c>
    </row>
    <row r="212" spans="1:72" ht="13.15" customHeight="1">
      <c r="C212" s="21"/>
      <c r="D212" t="s">
        <v>1352</v>
      </c>
      <c r="Y212" s="1403"/>
      <c r="Z212" s="1403"/>
      <c r="AB212" s="1805">
        <f>IFERROR(Y212/AG440,"")</f>
        <v>0</v>
      </c>
      <c r="AC212" s="1806"/>
      <c r="BC212" t="s">
        <v>308</v>
      </c>
      <c r="BI212" t="s">
        <v>1290</v>
      </c>
      <c r="BN212" s="23" t="s">
        <v>49</v>
      </c>
      <c r="BT212" s="32" t="s">
        <v>204</v>
      </c>
    </row>
    <row r="213" spans="1:72" ht="13.15" customHeight="1">
      <c r="D213" s="1189" t="s">
        <v>1741</v>
      </c>
      <c r="BC213" t="s">
        <v>534</v>
      </c>
      <c r="BI213" t="s">
        <v>2630</v>
      </c>
      <c r="BN213" s="23" t="s">
        <v>50</v>
      </c>
      <c r="BT213" s="32" t="s">
        <v>205</v>
      </c>
    </row>
    <row r="214" spans="1:72" ht="13.15" customHeight="1">
      <c r="D214" s="1812" t="s">
        <v>599</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538</v>
      </c>
      <c r="BI214" t="s">
        <v>2636</v>
      </c>
      <c r="BN214" s="23" t="s">
        <v>327</v>
      </c>
      <c r="BT214" s="32" t="s">
        <v>206</v>
      </c>
    </row>
    <row r="215" spans="1:72" ht="13.15" customHeight="1">
      <c r="D215" s="3" t="s">
        <v>1766</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535</v>
      </c>
      <c r="BI215" t="s">
        <v>2631</v>
      </c>
    </row>
    <row r="216" spans="1:72" ht="13.15" customHeight="1">
      <c r="D216" s="3" t="s">
        <v>1764</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574</v>
      </c>
      <c r="BI216" t="s">
        <v>2632</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15" customHeight="1">
      <c r="A218" s="2" t="s">
        <v>600</v>
      </c>
      <c r="C218" s="2" t="s">
        <v>1328</v>
      </c>
      <c r="D218" s="28"/>
      <c r="BC218" t="s">
        <v>537</v>
      </c>
    </row>
    <row r="219" spans="1:72" ht="13.15" customHeight="1">
      <c r="A219" s="2"/>
      <c r="C219" s="2"/>
      <c r="D219" s="4" t="s">
        <v>1008</v>
      </c>
      <c r="AZ219" s="3"/>
      <c r="BA219" s="3"/>
      <c r="BC219" t="s">
        <v>378</v>
      </c>
    </row>
    <row r="220" spans="1:72" ht="13.15" customHeight="1">
      <c r="A220" s="2"/>
      <c r="C220" s="2"/>
      <c r="D220" s="1445" t="s">
        <v>1091</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3.15" customHeight="1">
      <c r="A221" s="2"/>
      <c r="B221" s="14"/>
      <c r="C221" s="2"/>
      <c r="AU221" s="95"/>
      <c r="AV221" s="95"/>
      <c r="AW221" s="95"/>
      <c r="AX221" s="95"/>
      <c r="AY221" s="95"/>
      <c r="BA221" s="3"/>
    </row>
    <row r="222" spans="1:72" ht="13.15" customHeight="1">
      <c r="A222" s="1464" t="s">
        <v>548</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1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15" customHeight="1">
      <c r="AZ224" s="4"/>
      <c r="BA224" s="3"/>
      <c r="BB224" s="3"/>
      <c r="BQ224" s="34"/>
    </row>
    <row r="225" spans="1:69" ht="13.1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599</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1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553</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553</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1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478</v>
      </c>
      <c r="E232" s="4"/>
      <c r="F232" s="4"/>
      <c r="G232" s="4"/>
      <c r="H232" s="4"/>
      <c r="I232" s="4"/>
      <c r="J232" s="4"/>
      <c r="K232" s="4"/>
      <c r="M232" s="1800" t="str">
        <f>H16</f>
        <v>Abode Communities</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546</v>
      </c>
      <c r="BG232" s="259">
        <f>IF(AND(AND($M$249="nonprofit",$M$257="nonprofit",$M$265="for profit")),2,0)</f>
        <v>0</v>
      </c>
      <c r="BQ232" s="34"/>
    </row>
    <row r="233" spans="1:69" ht="13.15" customHeight="1">
      <c r="D233" s="4" t="s">
        <v>85</v>
      </c>
      <c r="E233" s="4"/>
      <c r="F233" s="4"/>
      <c r="G233" s="4"/>
      <c r="H233" s="4"/>
      <c r="I233" s="4"/>
      <c r="J233" s="4"/>
      <c r="K233" s="4"/>
      <c r="M233" s="1446" t="s">
        <v>2644</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3.15" customHeight="1">
      <c r="D234" s="4" t="s">
        <v>588</v>
      </c>
      <c r="E234" s="4"/>
      <c r="M234" s="1446" t="s">
        <v>2643</v>
      </c>
      <c r="N234" s="1446"/>
      <c r="O234" s="1446"/>
      <c r="P234" s="1446"/>
      <c r="Q234" s="1446"/>
      <c r="R234" s="1446"/>
      <c r="S234" s="1446"/>
      <c r="T234" s="1446"/>
      <c r="V234" s="33" t="s">
        <v>86</v>
      </c>
      <c r="W234" s="1551" t="s">
        <v>2645</v>
      </c>
      <c r="X234" s="1487"/>
      <c r="Y234" s="4" t="s">
        <v>591</v>
      </c>
      <c r="AC234" s="1446">
        <v>90015</v>
      </c>
      <c r="AD234" s="1446"/>
      <c r="AE234" s="1446"/>
      <c r="AU234" s="4"/>
      <c r="AV234" s="4"/>
      <c r="AW234" s="4"/>
      <c r="AX234" s="4"/>
      <c r="AY234" s="4"/>
      <c r="AZ234" s="4"/>
      <c r="BB234" s="219" t="s">
        <v>546</v>
      </c>
      <c r="BG234" s="258">
        <f>IF(AND(AND($M$249="for profit",$M$257="nonprofit",$M$265="nonprofit")),2,0)</f>
        <v>0</v>
      </c>
      <c r="BO234" s="34"/>
    </row>
    <row r="235" spans="1:69" ht="13.15" customHeight="1">
      <c r="D235" s="4" t="s">
        <v>87</v>
      </c>
      <c r="E235" s="4"/>
      <c r="F235" s="4"/>
      <c r="G235" s="4"/>
      <c r="H235" s="4"/>
      <c r="I235" s="4"/>
      <c r="J235" s="4"/>
      <c r="K235" s="19"/>
      <c r="M235" s="1445" t="s">
        <v>2650</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3.15" customHeight="1">
      <c r="D236" s="4" t="s">
        <v>88</v>
      </c>
      <c r="E236" s="4"/>
      <c r="F236" s="4"/>
      <c r="M236" s="1474" t="s">
        <v>2647</v>
      </c>
      <c r="N236" s="1474"/>
      <c r="O236" s="1474"/>
      <c r="P236" s="1474"/>
      <c r="Q236" s="1474"/>
      <c r="R236" s="1474"/>
      <c r="S236" s="4" t="s">
        <v>207</v>
      </c>
      <c r="T236" s="4"/>
      <c r="U236" s="1487"/>
      <c r="V236" s="1487"/>
      <c r="W236" s="1487"/>
      <c r="X236" s="4" t="s">
        <v>89</v>
      </c>
      <c r="Z236" s="1474"/>
      <c r="AA236" s="1474"/>
      <c r="AB236" s="1474"/>
      <c r="AC236" s="1474"/>
      <c r="AD236" s="1474"/>
      <c r="AE236" s="1474"/>
      <c r="AU236" s="4"/>
      <c r="AV236" s="4"/>
      <c r="AW236" s="4"/>
      <c r="AX236" s="4"/>
      <c r="AY236" s="4"/>
      <c r="AZ236" s="4"/>
      <c r="BB236" s="218" t="s">
        <v>545</v>
      </c>
      <c r="BG236" s="259">
        <f>IF(AND(AND($M$249="nonprofit",$M$257="nonprofit",$M$265="(select one)")),1,0)</f>
        <v>0</v>
      </c>
    </row>
    <row r="237" spans="1:69" ht="13.15" customHeight="1">
      <c r="D237" s="4" t="s">
        <v>90</v>
      </c>
      <c r="E237" s="4"/>
      <c r="F237" s="4"/>
      <c r="M237" s="1781" t="s">
        <v>2649</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15" customHeight="1">
      <c r="A238" s="2" t="s">
        <v>594</v>
      </c>
      <c r="C238" s="2" t="s">
        <v>533</v>
      </c>
      <c r="M238" s="1405" t="s">
        <v>378</v>
      </c>
      <c r="N238" s="1405"/>
      <c r="O238" s="1405"/>
      <c r="P238" s="1405"/>
      <c r="Q238" s="1405"/>
      <c r="R238" s="1405"/>
      <c r="S238" s="1405"/>
      <c r="T238" s="1405"/>
      <c r="U238" s="218" t="s">
        <v>921</v>
      </c>
      <c r="V238" s="218"/>
      <c r="W238" s="218"/>
      <c r="X238" s="218"/>
      <c r="Y238" s="218"/>
      <c r="Z238" s="218"/>
      <c r="AA238" s="1803" t="s">
        <v>2641</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15"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15" customHeight="1">
      <c r="D240" s="4"/>
      <c r="BB240" s="218" t="s">
        <v>889</v>
      </c>
      <c r="BG240" s="259">
        <f>IF(AND(AND($M$249="for profit",$M$257="for profit",$M$265="for profit")),3,0)</f>
        <v>0</v>
      </c>
    </row>
    <row r="241" spans="1:71" ht="13.1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481</v>
      </c>
      <c r="D243" s="4" t="s">
        <v>540</v>
      </c>
      <c r="E243" s="4"/>
      <c r="F243" s="4"/>
      <c r="G243" s="4"/>
      <c r="H243" s="4"/>
      <c r="I243" s="4"/>
      <c r="J243" s="4"/>
      <c r="K243" s="4"/>
      <c r="L243" s="4"/>
      <c r="M243" s="1784" t="s">
        <v>2642</v>
      </c>
      <c r="N243" s="1785"/>
      <c r="O243" s="1785"/>
      <c r="P243" s="1785"/>
      <c r="Q243" s="1785"/>
      <c r="R243" s="1785"/>
      <c r="S243" s="1785"/>
      <c r="T243" s="1785"/>
      <c r="U243" s="1785"/>
      <c r="V243" s="1785"/>
      <c r="W243" s="1785"/>
      <c r="X243" s="1785"/>
      <c r="Y243" s="1785"/>
      <c r="Z243" s="1785"/>
      <c r="AA243" s="1785"/>
      <c r="AB243" s="1785"/>
      <c r="AC243" s="1785"/>
      <c r="AD243" s="1785"/>
      <c r="AE243" s="1785"/>
      <c r="AF243" s="1785" t="s">
        <v>308</v>
      </c>
      <c r="AG243" s="1785"/>
      <c r="AH243" s="1785"/>
      <c r="AI243" s="1785"/>
      <c r="AJ243" s="1785"/>
      <c r="AK243" s="1785"/>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445" t="s">
        <v>2644</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1285</v>
      </c>
      <c r="AL244" s="4"/>
      <c r="AM244" s="4"/>
      <c r="AN244" s="4"/>
      <c r="AO244" s="4"/>
      <c r="AP244" s="4"/>
      <c r="AQ244" s="4"/>
      <c r="AR244" s="4"/>
      <c r="AS244" s="4"/>
      <c r="AT244" s="4"/>
      <c r="BB244" t="s">
        <v>308</v>
      </c>
      <c r="BG244">
        <v>1</v>
      </c>
      <c r="BH244" t="s">
        <v>542</v>
      </c>
    </row>
    <row r="245" spans="1:71" ht="13.15" customHeight="1">
      <c r="A245" s="19"/>
      <c r="B245" s="4"/>
      <c r="C245" s="4"/>
      <c r="D245" s="4" t="s">
        <v>588</v>
      </c>
      <c r="E245" s="4"/>
      <c r="M245" s="1445" t="s">
        <v>2643</v>
      </c>
      <c r="N245" s="1446"/>
      <c r="O245" s="1446"/>
      <c r="P245" s="1446"/>
      <c r="Q245" s="1446"/>
      <c r="R245" s="1446"/>
      <c r="S245" s="1446"/>
      <c r="T245" s="1446"/>
      <c r="V245" s="33" t="s">
        <v>86</v>
      </c>
      <c r="W245" s="1551" t="s">
        <v>2645</v>
      </c>
      <c r="X245" s="1487"/>
      <c r="Y245" s="4" t="s">
        <v>591</v>
      </c>
      <c r="AC245" s="1446">
        <v>90015</v>
      </c>
      <c r="AD245" s="1446"/>
      <c r="AE245" s="1446"/>
      <c r="AF245" s="3" t="s">
        <v>1286</v>
      </c>
      <c r="AU245" s="4"/>
      <c r="AV245" s="4"/>
      <c r="AW245" s="4"/>
      <c r="AX245" s="4"/>
      <c r="AY245" s="4"/>
      <c r="BB245" s="4" t="s">
        <v>281</v>
      </c>
      <c r="BG245">
        <v>2</v>
      </c>
      <c r="BH245" t="s">
        <v>574</v>
      </c>
      <c r="BO245" s="257" t="str">
        <f>VLOOKUP(BG243,BG244:BH247,2,FALSE)</f>
        <v>Nonprofit</v>
      </c>
    </row>
    <row r="246" spans="1:71" ht="13.15" customHeight="1">
      <c r="A246" s="19"/>
      <c r="B246" s="4"/>
      <c r="C246" s="4"/>
      <c r="D246" s="4" t="s">
        <v>87</v>
      </c>
      <c r="E246" s="4"/>
      <c r="F246" s="4"/>
      <c r="G246" s="4"/>
      <c r="H246" s="4"/>
      <c r="I246" s="4"/>
      <c r="J246" s="4"/>
      <c r="K246" s="4"/>
      <c r="L246" s="19"/>
      <c r="M246" s="1445" t="s">
        <v>2646</v>
      </c>
      <c r="N246" s="1446"/>
      <c r="O246" s="1446"/>
      <c r="P246" s="1446"/>
      <c r="Q246" s="1446"/>
      <c r="R246" s="1446"/>
      <c r="S246" s="1446"/>
      <c r="T246" s="1446"/>
      <c r="U246" s="1446"/>
      <c r="V246" s="1446"/>
      <c r="W246" s="1446"/>
      <c r="X246" s="1446"/>
      <c r="Y246" s="1446"/>
      <c r="Z246" s="1446"/>
      <c r="AA246" s="1446"/>
      <c r="AB246" s="1446"/>
      <c r="AC246" s="1446"/>
      <c r="AD246" s="1446"/>
      <c r="AE246" s="1446"/>
      <c r="AH246" s="1782">
        <v>0.01</v>
      </c>
      <c r="AI246" s="1782"/>
      <c r="AJ246" s="1782"/>
      <c r="AK246" s="1782"/>
      <c r="AL246" s="4"/>
      <c r="AM246" s="4"/>
      <c r="AN246" s="4"/>
      <c r="AO246" s="4"/>
      <c r="AP246" s="4"/>
      <c r="AQ246" s="4"/>
      <c r="AR246" s="4"/>
      <c r="AS246" s="4"/>
      <c r="AT246" s="4"/>
      <c r="BB246" s="4" t="s">
        <v>173</v>
      </c>
      <c r="BG246">
        <v>3</v>
      </c>
      <c r="BH246" t="s">
        <v>544</v>
      </c>
      <c r="BN246" s="34"/>
    </row>
    <row r="247" spans="1:71" ht="13.15" customHeight="1">
      <c r="A247" s="19"/>
      <c r="B247" s="4"/>
      <c r="C247" s="4"/>
      <c r="D247" s="4" t="s">
        <v>88</v>
      </c>
      <c r="E247" s="4"/>
      <c r="F247" s="4"/>
      <c r="M247" s="1715" t="s">
        <v>2647</v>
      </c>
      <c r="N247" s="1474"/>
      <c r="O247" s="1474"/>
      <c r="P247" s="1474"/>
      <c r="Q247" s="1474"/>
      <c r="R247" s="1474"/>
      <c r="S247" s="4" t="s">
        <v>207</v>
      </c>
      <c r="T247" s="4"/>
      <c r="U247" s="1487"/>
      <c r="V247" s="1487"/>
      <c r="W247" s="1487"/>
      <c r="X247" s="4" t="s">
        <v>89</v>
      </c>
      <c r="Z247" s="1474"/>
      <c r="AA247" s="1474"/>
      <c r="AB247" s="1474"/>
      <c r="AC247" s="1474"/>
      <c r="AD247" s="1474"/>
      <c r="AE247" s="1474"/>
      <c r="AU247" s="4"/>
      <c r="AV247" s="4"/>
      <c r="AW247" s="4"/>
      <c r="AX247" s="4"/>
      <c r="AY247" s="4"/>
      <c r="BG247">
        <v>0</v>
      </c>
      <c r="BH247" s="3"/>
      <c r="BN247" s="34"/>
    </row>
    <row r="248" spans="1:71" ht="13.15" customHeight="1">
      <c r="A248" s="19"/>
      <c r="B248" s="4"/>
      <c r="C248" s="4"/>
      <c r="D248" s="4" t="s">
        <v>90</v>
      </c>
      <c r="E248" s="4"/>
      <c r="F248" s="4"/>
      <c r="M248" s="1781" t="s">
        <v>2649</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3.15" customHeight="1">
      <c r="A249" s="13"/>
      <c r="B249" s="4"/>
      <c r="C249" s="56"/>
      <c r="D249" s="4" t="s">
        <v>543</v>
      </c>
      <c r="E249" s="4"/>
      <c r="F249" s="4"/>
      <c r="G249" s="4"/>
      <c r="H249" s="4"/>
      <c r="I249" s="4"/>
      <c r="J249" s="4"/>
      <c r="K249" s="4"/>
      <c r="L249" s="4"/>
      <c r="M249" s="1405" t="s">
        <v>542</v>
      </c>
      <c r="N249" s="1405"/>
      <c r="O249" s="1405"/>
      <c r="P249" s="1405"/>
      <c r="Q249" s="1405"/>
      <c r="R249" s="1405"/>
      <c r="S249" s="1405"/>
      <c r="T249" s="1405"/>
      <c r="U249" s="218" t="s">
        <v>921</v>
      </c>
      <c r="V249" s="218"/>
      <c r="W249" s="218"/>
      <c r="X249" s="218"/>
      <c r="Y249" s="218"/>
      <c r="Z249" s="218"/>
      <c r="AA249" s="1803" t="s">
        <v>2648</v>
      </c>
      <c r="AB249" s="1804"/>
      <c r="AC249" s="1804"/>
      <c r="AD249" s="1804"/>
      <c r="AE249" s="1804"/>
      <c r="AF249" s="1804"/>
      <c r="AG249" s="1804"/>
      <c r="AH249" s="1804"/>
      <c r="AI249" s="1804"/>
      <c r="AJ249" s="1804"/>
      <c r="AK249" s="1804"/>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974</v>
      </c>
      <c r="E251" s="4"/>
      <c r="F251" s="4"/>
      <c r="G251" s="4"/>
      <c r="H251" s="4"/>
      <c r="I251" s="4"/>
      <c r="J251" s="4"/>
      <c r="K251" s="4"/>
      <c r="L251" s="4"/>
      <c r="M251" s="1785"/>
      <c r="N251" s="1785"/>
      <c r="O251" s="1785"/>
      <c r="P251" s="1785"/>
      <c r="Q251" s="1785"/>
      <c r="R251" s="1785"/>
      <c r="S251" s="1785"/>
      <c r="T251" s="1785"/>
      <c r="U251" s="1785"/>
      <c r="V251" s="1785"/>
      <c r="W251" s="1785"/>
      <c r="X251" s="1785"/>
      <c r="Y251" s="1785"/>
      <c r="Z251" s="1785"/>
      <c r="AA251" s="1785"/>
      <c r="AB251" s="1785"/>
      <c r="AC251" s="1785"/>
      <c r="AD251" s="1785"/>
      <c r="AE251" s="1785"/>
      <c r="AF251" s="1785" t="s">
        <v>308</v>
      </c>
      <c r="AG251" s="1785"/>
      <c r="AH251" s="1785"/>
      <c r="AI251" s="1785"/>
      <c r="AJ251" s="1785"/>
      <c r="AK251" s="1785"/>
      <c r="AU251" s="4"/>
      <c r="AV251" s="4"/>
      <c r="AW251" s="4"/>
      <c r="AX251" s="4"/>
      <c r="AY251" s="4"/>
      <c r="BN251" s="34"/>
    </row>
    <row r="252" spans="1:71" ht="13.15" customHeight="1">
      <c r="A252" s="19"/>
      <c r="B252" s="4"/>
      <c r="C252" s="4"/>
      <c r="D252" s="4" t="s">
        <v>85</v>
      </c>
      <c r="E252" s="4"/>
      <c r="F252" s="4"/>
      <c r="G252" s="4"/>
      <c r="H252" s="4"/>
      <c r="I252" s="4"/>
      <c r="J252" s="4"/>
      <c r="K252" s="4"/>
      <c r="L252" s="4"/>
      <c r="M252" s="1446"/>
      <c r="N252" s="1446"/>
      <c r="O252" s="1446"/>
      <c r="P252" s="1446"/>
      <c r="Q252" s="1446"/>
      <c r="R252" s="1446"/>
      <c r="S252" s="1446"/>
      <c r="T252" s="1446"/>
      <c r="U252" s="1446"/>
      <c r="V252" s="1446"/>
      <c r="W252" s="1446"/>
      <c r="X252" s="1446"/>
      <c r="Y252" s="1446"/>
      <c r="Z252" s="1446"/>
      <c r="AA252" s="1446"/>
      <c r="AB252" s="1446"/>
      <c r="AC252" s="1446"/>
      <c r="AD252" s="1446"/>
      <c r="AE252" s="1446"/>
      <c r="AF252" s="3" t="s">
        <v>1285</v>
      </c>
      <c r="AL252" s="4"/>
      <c r="AM252" s="4"/>
      <c r="AN252" s="4"/>
      <c r="AO252" s="4"/>
      <c r="AP252" s="4"/>
      <c r="AQ252" s="4"/>
      <c r="AR252" s="4"/>
      <c r="AS252" s="4"/>
      <c r="AT252" s="4"/>
      <c r="BN252" s="34"/>
    </row>
    <row r="253" spans="1:71" ht="13.15" customHeight="1">
      <c r="A253" s="19"/>
      <c r="B253" s="4"/>
      <c r="C253" s="4"/>
      <c r="D253" s="4" t="s">
        <v>588</v>
      </c>
      <c r="E253" s="4"/>
      <c r="M253" s="1446"/>
      <c r="N253" s="1446"/>
      <c r="O253" s="1446"/>
      <c r="P253" s="1446"/>
      <c r="Q253" s="1446"/>
      <c r="R253" s="1446"/>
      <c r="S253" s="1446"/>
      <c r="T253" s="1446"/>
      <c r="V253" s="33" t="s">
        <v>86</v>
      </c>
      <c r="W253" s="1487"/>
      <c r="X253" s="1487"/>
      <c r="Y253" s="4" t="s">
        <v>591</v>
      </c>
      <c r="AC253" s="1446"/>
      <c r="AD253" s="1446"/>
      <c r="AE253" s="1446"/>
      <c r="AF253" s="3" t="s">
        <v>1286</v>
      </c>
      <c r="AU253" s="4"/>
      <c r="AV253" s="4"/>
      <c r="AW253" s="4"/>
      <c r="AX253" s="4"/>
      <c r="AY253" s="4"/>
      <c r="BN253" s="34"/>
    </row>
    <row r="254" spans="1:71" ht="13.15" customHeight="1">
      <c r="A254" s="19"/>
      <c r="B254" s="4"/>
      <c r="C254" s="4"/>
      <c r="D254" s="4" t="s">
        <v>87</v>
      </c>
      <c r="E254" s="4"/>
      <c r="F254" s="4"/>
      <c r="G254" s="4"/>
      <c r="H254" s="4"/>
      <c r="I254" s="4"/>
      <c r="J254" s="4"/>
      <c r="K254" s="4"/>
      <c r="L254" s="19"/>
      <c r="M254" s="1446"/>
      <c r="N254" s="1446"/>
      <c r="O254" s="1446"/>
      <c r="P254" s="1446"/>
      <c r="Q254" s="1446"/>
      <c r="R254" s="1446"/>
      <c r="S254" s="1446"/>
      <c r="T254" s="1446"/>
      <c r="U254" s="1446"/>
      <c r="V254" s="1446"/>
      <c r="W254" s="1446"/>
      <c r="X254" s="1446"/>
      <c r="Y254" s="1446"/>
      <c r="Z254" s="1446"/>
      <c r="AA254" s="1446"/>
      <c r="AB254" s="1446"/>
      <c r="AC254" s="1446"/>
      <c r="AD254" s="1446"/>
      <c r="AE254" s="1446"/>
      <c r="AH254" s="1782"/>
      <c r="AI254" s="1782"/>
      <c r="AJ254" s="1782"/>
      <c r="AK254" s="1782"/>
      <c r="AL254" s="4"/>
      <c r="AM254" s="4"/>
      <c r="AN254" s="4"/>
      <c r="AO254" s="4"/>
      <c r="AP254" s="4"/>
      <c r="AQ254" s="4"/>
      <c r="AR254" s="4"/>
      <c r="AS254" s="4"/>
      <c r="AT254" s="4"/>
    </row>
    <row r="255" spans="1:71" ht="13.15" customHeight="1">
      <c r="A255" s="19"/>
      <c r="B255" s="4"/>
      <c r="C255" s="4"/>
      <c r="D255" s="4" t="s">
        <v>88</v>
      </c>
      <c r="E255" s="4"/>
      <c r="F255" s="4"/>
      <c r="M255" s="1474"/>
      <c r="N255" s="1474"/>
      <c r="O255" s="1474"/>
      <c r="P255" s="1474"/>
      <c r="Q255" s="1474"/>
      <c r="R255" s="1474"/>
      <c r="S255" s="4" t="s">
        <v>207</v>
      </c>
      <c r="T255" s="4"/>
      <c r="U255" s="1487"/>
      <c r="V255" s="1487"/>
      <c r="W255" s="1487"/>
      <c r="X255" s="4" t="s">
        <v>89</v>
      </c>
      <c r="Z255" s="1474"/>
      <c r="AA255" s="1474"/>
      <c r="AB255" s="1474"/>
      <c r="AC255" s="1474"/>
      <c r="AD255" s="1474"/>
      <c r="AE255" s="1474"/>
      <c r="AU255" s="4"/>
      <c r="AV255" s="4"/>
      <c r="AW255" s="4"/>
      <c r="AX255" s="4"/>
      <c r="AY255" s="4"/>
      <c r="BN255" s="34"/>
    </row>
    <row r="256" spans="1:71" ht="13.15" customHeight="1">
      <c r="A256" s="19"/>
      <c r="B256" s="4"/>
      <c r="C256" s="4"/>
      <c r="D256" s="4" t="s">
        <v>90</v>
      </c>
      <c r="E256" s="4"/>
      <c r="F256" s="4"/>
      <c r="M256" s="1781"/>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543</v>
      </c>
      <c r="E257" s="4"/>
      <c r="F257" s="4"/>
      <c r="G257" s="4"/>
      <c r="H257" s="4"/>
      <c r="I257" s="4"/>
      <c r="J257" s="4"/>
      <c r="K257" s="4"/>
      <c r="L257" s="4"/>
      <c r="M257" s="1405" t="s">
        <v>308</v>
      </c>
      <c r="N257" s="1405"/>
      <c r="O257" s="1405"/>
      <c r="P257" s="1405"/>
      <c r="Q257" s="1405"/>
      <c r="R257" s="1405"/>
      <c r="S257" s="1405"/>
      <c r="T257" s="1405"/>
      <c r="U257" s="218" t="s">
        <v>921</v>
      </c>
      <c r="V257" s="218"/>
      <c r="W257" s="218"/>
      <c r="X257" s="218"/>
      <c r="Y257" s="218"/>
      <c r="Z257" s="218"/>
      <c r="AA257" s="1804"/>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888</v>
      </c>
      <c r="D259" s="4" t="s">
        <v>540</v>
      </c>
      <c r="E259" s="4"/>
      <c r="F259" s="4"/>
      <c r="G259" s="4"/>
      <c r="H259" s="4"/>
      <c r="I259" s="4"/>
      <c r="J259" s="4"/>
      <c r="K259" s="4"/>
      <c r="L259" s="4"/>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t="s">
        <v>308</v>
      </c>
      <c r="AG259" s="1785"/>
      <c r="AH259" s="1785"/>
      <c r="AI259" s="1785"/>
      <c r="AJ259" s="1785"/>
      <c r="AK259" s="1785"/>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1285</v>
      </c>
      <c r="AL260" s="3"/>
      <c r="AM260" s="3"/>
      <c r="AN260" s="3"/>
      <c r="AO260" s="3"/>
      <c r="AP260" s="3"/>
      <c r="AQ260" s="3"/>
      <c r="AR260" s="3"/>
      <c r="AS260" s="3"/>
      <c r="AT260" s="3"/>
      <c r="AU260" s="3"/>
      <c r="AV260" s="3"/>
      <c r="AW260" s="3"/>
      <c r="AX260" s="3"/>
      <c r="AY260" s="3"/>
      <c r="BN260" s="34"/>
    </row>
    <row r="261" spans="1:66" ht="13.15" customHeight="1">
      <c r="A261" s="13"/>
      <c r="B261" s="4"/>
      <c r="C261" s="4"/>
      <c r="D261" s="4" t="s">
        <v>588</v>
      </c>
      <c r="E261" s="4"/>
      <c r="M261" s="1446"/>
      <c r="N261" s="1446"/>
      <c r="O261" s="1446"/>
      <c r="P261" s="1446"/>
      <c r="Q261" s="1446"/>
      <c r="R261" s="1446"/>
      <c r="S261" s="1446"/>
      <c r="T261" s="1446"/>
      <c r="V261" s="33" t="s">
        <v>86</v>
      </c>
      <c r="W261" s="1487"/>
      <c r="X261" s="1487"/>
      <c r="Y261" s="4" t="s">
        <v>591</v>
      </c>
      <c r="AC261" s="1446"/>
      <c r="AD261" s="1446"/>
      <c r="AE261" s="1446"/>
      <c r="AF261" s="3" t="s">
        <v>1286</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2"/>
      <c r="AI262" s="1782"/>
      <c r="AJ262" s="1782"/>
      <c r="AK262" s="1782"/>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474"/>
      <c r="N263" s="1474"/>
      <c r="O263" s="1474"/>
      <c r="P263" s="1474"/>
      <c r="Q263" s="1474"/>
      <c r="R263" s="1474"/>
      <c r="S263" s="4" t="s">
        <v>207</v>
      </c>
      <c r="T263" s="4"/>
      <c r="U263" s="1487"/>
      <c r="V263" s="1487"/>
      <c r="W263" s="1487"/>
      <c r="X263" s="4" t="s">
        <v>89</v>
      </c>
      <c r="Z263" s="1474"/>
      <c r="AA263" s="1474"/>
      <c r="AB263" s="1474"/>
      <c r="AC263" s="1474"/>
      <c r="AD263" s="1474"/>
      <c r="AE263" s="1474"/>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543</v>
      </c>
      <c r="E265" s="4"/>
      <c r="F265" s="4"/>
      <c r="G265" s="4"/>
      <c r="H265" s="4"/>
      <c r="I265" s="4"/>
      <c r="J265" s="4"/>
      <c r="K265" s="4"/>
      <c r="L265" s="4"/>
      <c r="M265" s="1405" t="s">
        <v>308</v>
      </c>
      <c r="N265" s="1405"/>
      <c r="O265" s="1405"/>
      <c r="P265" s="1405"/>
      <c r="Q265" s="1405"/>
      <c r="R265" s="1405"/>
      <c r="S265" s="1405"/>
      <c r="T265" s="1405"/>
      <c r="U265" s="218" t="s">
        <v>921</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598</v>
      </c>
      <c r="B267" s="4"/>
      <c r="C267" s="2" t="s">
        <v>296</v>
      </c>
      <c r="D267" s="4"/>
      <c r="E267" s="4"/>
      <c r="F267" s="4"/>
      <c r="G267" s="4"/>
      <c r="H267" s="4"/>
      <c r="I267" s="4"/>
      <c r="J267" s="4"/>
      <c r="K267" s="4"/>
      <c r="L267" s="4"/>
      <c r="M267" s="35"/>
      <c r="N267" s="35"/>
      <c r="O267" s="35"/>
      <c r="P267" s="35"/>
      <c r="Q267" s="35"/>
      <c r="T267" s="1816" t="str">
        <f>IFERROR(BO245,"")</f>
        <v>Nonprofit</v>
      </c>
      <c r="U267" s="1816"/>
      <c r="V267" s="1816"/>
      <c r="W267" s="1816"/>
      <c r="X267" s="1816"/>
      <c r="Z267" s="331" t="s">
        <v>973</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1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15"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784" t="s">
        <v>2641</v>
      </c>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c r="AG274" s="1785"/>
      <c r="AH274" s="1785"/>
      <c r="AI274" s="1785"/>
      <c r="AJ274" s="1785"/>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445" t="s">
        <v>2651</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3.15" customHeight="1">
      <c r="D276" s="4" t="s">
        <v>588</v>
      </c>
      <c r="E276" s="4"/>
      <c r="L276" s="1445" t="s">
        <v>502</v>
      </c>
      <c r="M276" s="1446"/>
      <c r="N276" s="1446"/>
      <c r="O276" s="1446"/>
      <c r="P276" s="1446"/>
      <c r="Q276" s="1446"/>
      <c r="R276" s="1446"/>
      <c r="S276" s="1446"/>
      <c r="U276" s="33" t="s">
        <v>86</v>
      </c>
      <c r="V276" s="1551" t="s">
        <v>2645</v>
      </c>
      <c r="W276" s="1487"/>
      <c r="X276" s="4" t="s">
        <v>591</v>
      </c>
      <c r="AB276" s="1446">
        <v>90015</v>
      </c>
      <c r="AC276" s="1446"/>
      <c r="AD276" s="1446"/>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445" t="s">
        <v>2646</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3.15" customHeight="1">
      <c r="D278" s="4" t="s">
        <v>88</v>
      </c>
      <c r="E278" s="4"/>
      <c r="F278" s="4"/>
      <c r="L278" s="1715" t="s">
        <v>2647</v>
      </c>
      <c r="M278" s="1474"/>
      <c r="N278" s="1474"/>
      <c r="O278" s="1474"/>
      <c r="P278" s="1474"/>
      <c r="Q278" s="1474"/>
      <c r="R278" s="4" t="s">
        <v>207</v>
      </c>
      <c r="S278" s="4"/>
      <c r="T278" s="1487"/>
      <c r="U278" s="1487"/>
      <c r="V278" s="1487"/>
      <c r="W278" s="4" t="s">
        <v>89</v>
      </c>
      <c r="Y278" s="1474"/>
      <c r="Z278" s="1474"/>
      <c r="AA278" s="1474"/>
      <c r="AB278" s="1474"/>
      <c r="AC278" s="1474"/>
      <c r="AD278" s="1474"/>
      <c r="BN278" s="34"/>
    </row>
    <row r="279" spans="1:66" ht="13.15" customHeight="1">
      <c r="D279" s="4" t="s">
        <v>90</v>
      </c>
      <c r="E279" s="4"/>
      <c r="F279" s="4"/>
      <c r="L279" s="1781" t="s">
        <v>2649</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3.15" customHeight="1">
      <c r="D280" s="3" t="s">
        <v>631</v>
      </c>
      <c r="E280" s="3"/>
      <c r="F280" s="3"/>
      <c r="G280" s="3"/>
      <c r="H280" s="3"/>
      <c r="I280" s="3"/>
      <c r="L280" s="1551" t="s">
        <v>2739</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c r="BN280" s="34"/>
    </row>
    <row r="281" spans="1:66" ht="13.15" customHeight="1">
      <c r="L281" s="22" t="s">
        <v>632</v>
      </c>
      <c r="AU281" s="95"/>
      <c r="AV281" s="95"/>
      <c r="AW281" s="95"/>
      <c r="AX281" s="95"/>
      <c r="AY281" s="95"/>
      <c r="BN281" s="34"/>
    </row>
    <row r="282" spans="1:66" ht="13.15" customHeight="1">
      <c r="A282" s="1464" t="s">
        <v>549</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1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634</v>
      </c>
      <c r="C287" s="3"/>
      <c r="D287" s="3"/>
      <c r="E287" s="3"/>
      <c r="F287" s="3"/>
      <c r="H287" s="1404" t="s">
        <v>2648</v>
      </c>
      <c r="I287" s="1404"/>
      <c r="J287" s="1404"/>
      <c r="K287" s="1404"/>
      <c r="L287" s="1404"/>
      <c r="M287" s="1404"/>
      <c r="N287" s="1404"/>
      <c r="O287" s="1404"/>
      <c r="P287" s="1404"/>
      <c r="Q287" s="1404"/>
      <c r="R287" s="1404"/>
      <c r="T287" s="3" t="s">
        <v>575</v>
      </c>
      <c r="V287" s="3"/>
      <c r="W287" s="3"/>
      <c r="X287" s="3"/>
      <c r="Y287" s="3"/>
      <c r="AA287" s="1404" t="s">
        <v>2641</v>
      </c>
      <c r="AB287" s="1404"/>
      <c r="AC287" s="1404"/>
      <c r="AD287" s="1404"/>
      <c r="AE287" s="1404"/>
      <c r="AF287" s="1404"/>
      <c r="AG287" s="1404"/>
      <c r="AH287" s="1404"/>
      <c r="AI287" s="1404"/>
      <c r="AJ287" s="1404"/>
      <c r="AK287" s="1404"/>
      <c r="BN287" s="34"/>
    </row>
    <row r="288" spans="1:66" ht="13.15" customHeight="1">
      <c r="B288" s="3" t="s">
        <v>479</v>
      </c>
      <c r="C288" s="3"/>
      <c r="D288" s="3"/>
      <c r="E288" s="3"/>
      <c r="F288" s="3"/>
      <c r="H288" s="1405" t="s">
        <v>2644</v>
      </c>
      <c r="I288" s="1405"/>
      <c r="J288" s="1405"/>
      <c r="K288" s="1405"/>
      <c r="L288" s="1405"/>
      <c r="M288" s="1405"/>
      <c r="N288" s="1405"/>
      <c r="O288" s="1405"/>
      <c r="P288" s="1405"/>
      <c r="Q288" s="1405"/>
      <c r="R288" s="1405"/>
      <c r="T288" s="3" t="s">
        <v>479</v>
      </c>
      <c r="V288" s="3"/>
      <c r="W288" s="3"/>
      <c r="X288" s="3"/>
      <c r="Y288" s="3"/>
      <c r="AA288" s="1405" t="s">
        <v>2660</v>
      </c>
      <c r="AB288" s="1405"/>
      <c r="AC288" s="1405"/>
      <c r="AD288" s="1405"/>
      <c r="AE288" s="1405"/>
      <c r="AF288" s="1405"/>
      <c r="AG288" s="1405"/>
      <c r="AH288" s="1405"/>
      <c r="AI288" s="1405"/>
      <c r="AJ288" s="1405"/>
      <c r="AK288" s="1405"/>
      <c r="BN288" s="34"/>
    </row>
    <row r="289" spans="2:66" ht="13.15" customHeight="1">
      <c r="B289" s="3" t="s">
        <v>480</v>
      </c>
      <c r="C289" s="3"/>
      <c r="D289" s="3"/>
      <c r="E289" s="3"/>
      <c r="F289" s="3"/>
      <c r="H289" s="1405" t="s">
        <v>2652</v>
      </c>
      <c r="I289" s="1405"/>
      <c r="J289" s="1405"/>
      <c r="K289" s="1405"/>
      <c r="L289" s="1405"/>
      <c r="M289" s="1405"/>
      <c r="N289" s="1405"/>
      <c r="O289" s="1405"/>
      <c r="P289" s="1405"/>
      <c r="Q289" s="1405"/>
      <c r="R289" s="1405"/>
      <c r="T289" s="3" t="s">
        <v>75</v>
      </c>
      <c r="V289" s="3"/>
      <c r="W289" s="3"/>
      <c r="X289" s="3"/>
      <c r="Y289" s="3"/>
      <c r="AA289" s="1405" t="s">
        <v>2661</v>
      </c>
      <c r="AB289" s="1405"/>
      <c r="AC289" s="1405"/>
      <c r="AD289" s="1405"/>
      <c r="AE289" s="1405"/>
      <c r="AF289" s="1405"/>
      <c r="AG289" s="1405"/>
      <c r="AH289" s="1405"/>
      <c r="AI289" s="1405"/>
      <c r="AJ289" s="1405"/>
      <c r="AK289" s="1405"/>
      <c r="BN289" s="34"/>
    </row>
    <row r="290" spans="2:66" ht="13.15" customHeight="1">
      <c r="B290" s="3" t="s">
        <v>87</v>
      </c>
      <c r="C290" s="3"/>
      <c r="D290" s="3"/>
      <c r="E290" s="3"/>
      <c r="F290" s="3"/>
      <c r="H290" s="1405" t="s">
        <v>2646</v>
      </c>
      <c r="I290" s="1405"/>
      <c r="J290" s="1405"/>
      <c r="K290" s="1405"/>
      <c r="L290" s="1405"/>
      <c r="M290" s="1405"/>
      <c r="N290" s="1405"/>
      <c r="O290" s="1405"/>
      <c r="P290" s="1405"/>
      <c r="Q290" s="1405"/>
      <c r="R290" s="1405"/>
      <c r="T290" s="3" t="s">
        <v>87</v>
      </c>
      <c r="V290" s="3"/>
      <c r="W290" s="3"/>
      <c r="X290" s="3"/>
      <c r="Y290" s="3"/>
      <c r="AA290" s="1551" t="s">
        <v>2715</v>
      </c>
      <c r="AB290" s="1405"/>
      <c r="AC290" s="1405"/>
      <c r="AD290" s="1405"/>
      <c r="AE290" s="1405"/>
      <c r="AF290" s="1405"/>
      <c r="AG290" s="1405"/>
      <c r="AH290" s="1405"/>
      <c r="AI290" s="1405"/>
      <c r="AJ290" s="1405"/>
      <c r="AK290" s="1405"/>
      <c r="BN290" s="34"/>
    </row>
    <row r="291" spans="2:66" ht="13.15" customHeight="1">
      <c r="B291" s="3" t="s">
        <v>88</v>
      </c>
      <c r="C291" s="3"/>
      <c r="D291" s="3"/>
      <c r="E291" s="3"/>
      <c r="F291" s="3"/>
      <c r="G291" s="3"/>
      <c r="H291" s="1780" t="s">
        <v>2647</v>
      </c>
      <c r="I291" s="1466"/>
      <c r="J291" s="1466"/>
      <c r="K291" s="1466"/>
      <c r="L291" s="1466"/>
      <c r="M291" s="1466"/>
      <c r="N291" s="4" t="s">
        <v>207</v>
      </c>
      <c r="O291" s="4"/>
      <c r="P291" s="1446"/>
      <c r="Q291" s="1446"/>
      <c r="R291" s="1446"/>
      <c r="S291" s="3"/>
      <c r="T291" s="3" t="s">
        <v>88</v>
      </c>
      <c r="V291" s="3"/>
      <c r="W291" s="3"/>
      <c r="X291" s="3"/>
      <c r="Y291" s="3"/>
      <c r="AA291" s="1780" t="s">
        <v>2714</v>
      </c>
      <c r="AB291" s="1466"/>
      <c r="AC291" s="1466"/>
      <c r="AD291" s="1466"/>
      <c r="AE291" s="1466"/>
      <c r="AF291" s="1466"/>
      <c r="AG291" s="4" t="s">
        <v>207</v>
      </c>
      <c r="AH291" s="4"/>
      <c r="AI291" s="1446"/>
      <c r="AJ291" s="1446"/>
      <c r="AK291" s="1446"/>
      <c r="BN291" s="34"/>
    </row>
    <row r="292" spans="2:66" ht="13.15" customHeight="1">
      <c r="B292" s="3" t="s">
        <v>89</v>
      </c>
      <c r="C292" s="3"/>
      <c r="D292" s="3"/>
      <c r="E292" s="3"/>
      <c r="F292" s="3"/>
      <c r="G292" s="3"/>
      <c r="H292" s="1474" t="s">
        <v>2659</v>
      </c>
      <c r="I292" s="1474"/>
      <c r="J292" s="1474"/>
      <c r="K292" s="1474"/>
      <c r="L292" s="1474"/>
      <c r="M292" s="1474"/>
      <c r="N292" s="4"/>
      <c r="O292" s="4"/>
      <c r="P292" s="35"/>
      <c r="Q292" s="35"/>
      <c r="R292" s="35"/>
      <c r="S292" s="3"/>
      <c r="T292" s="3" t="s">
        <v>89</v>
      </c>
      <c r="V292" s="3"/>
      <c r="W292" s="3"/>
      <c r="X292" s="3"/>
      <c r="Y292" s="3"/>
      <c r="AA292" s="1474"/>
      <c r="AB292" s="1474"/>
      <c r="AC292" s="1474"/>
      <c r="AD292" s="1474"/>
      <c r="AE292" s="1474"/>
      <c r="AF292" s="1474"/>
      <c r="AG292" s="4"/>
      <c r="AH292" s="4"/>
      <c r="AI292" s="35"/>
      <c r="AJ292" s="35"/>
      <c r="AK292" s="35"/>
      <c r="BN292" s="34"/>
    </row>
    <row r="293" spans="2:66" ht="13.15" customHeight="1">
      <c r="B293" s="3" t="s">
        <v>76</v>
      </c>
      <c r="C293" s="3"/>
      <c r="D293" s="3"/>
      <c r="E293" s="3"/>
      <c r="F293" s="3"/>
      <c r="G293" s="3"/>
      <c r="H293" s="1405" t="s">
        <v>2649</v>
      </c>
      <c r="I293" s="1405"/>
      <c r="J293" s="1405"/>
      <c r="K293" s="1405"/>
      <c r="L293" s="1405"/>
      <c r="M293" s="1405"/>
      <c r="N293" s="1404"/>
      <c r="O293" s="1404"/>
      <c r="P293" s="1404"/>
      <c r="Q293" s="1404"/>
      <c r="R293" s="1404"/>
      <c r="S293" s="3"/>
      <c r="T293" s="3" t="s">
        <v>76</v>
      </c>
      <c r="V293" s="3"/>
      <c r="W293" s="3"/>
      <c r="X293" s="3"/>
      <c r="Y293" s="3"/>
      <c r="AA293" s="1551" t="s">
        <v>2713</v>
      </c>
      <c r="AB293" s="1405"/>
      <c r="AC293" s="1405"/>
      <c r="AD293" s="1405"/>
      <c r="AE293" s="1405"/>
      <c r="AF293" s="1405"/>
      <c r="AG293" s="1404"/>
      <c r="AH293" s="1404"/>
      <c r="AI293" s="1404"/>
      <c r="AJ293" s="1404"/>
      <c r="AK293" s="1404"/>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404" t="s">
        <v>2662</v>
      </c>
      <c r="I295" s="1404"/>
      <c r="J295" s="1404"/>
      <c r="K295" s="1404"/>
      <c r="L295" s="1404"/>
      <c r="M295" s="1404"/>
      <c r="N295" s="1404"/>
      <c r="O295" s="1404"/>
      <c r="P295" s="1404"/>
      <c r="Q295" s="1404"/>
      <c r="R295" s="1404"/>
      <c r="T295" s="3" t="s">
        <v>365</v>
      </c>
      <c r="V295" s="3"/>
      <c r="W295" s="3"/>
      <c r="X295" s="3"/>
      <c r="Y295" s="3"/>
      <c r="AA295" s="1404" t="s">
        <v>2668</v>
      </c>
      <c r="AB295" s="1404"/>
      <c r="AC295" s="1404"/>
      <c r="AD295" s="1404"/>
      <c r="AE295" s="1404"/>
      <c r="AF295" s="1404"/>
      <c r="AG295" s="1404"/>
      <c r="AH295" s="1404"/>
      <c r="AI295" s="1404"/>
      <c r="AJ295" s="1404"/>
      <c r="AK295" s="1404"/>
      <c r="BN295" s="34"/>
    </row>
    <row r="296" spans="2:66" ht="13.15" customHeight="1">
      <c r="B296" s="3" t="s">
        <v>479</v>
      </c>
      <c r="C296" s="3"/>
      <c r="D296" s="3"/>
      <c r="E296" s="3"/>
      <c r="F296" s="3"/>
      <c r="H296" s="1405" t="s">
        <v>2663</v>
      </c>
      <c r="I296" s="1405"/>
      <c r="J296" s="1405"/>
      <c r="K296" s="1405"/>
      <c r="L296" s="1405"/>
      <c r="M296" s="1405"/>
      <c r="N296" s="1405"/>
      <c r="O296" s="1405"/>
      <c r="P296" s="1405"/>
      <c r="Q296" s="1405"/>
      <c r="R296" s="1405"/>
      <c r="T296" s="3" t="s">
        <v>479</v>
      </c>
      <c r="V296" s="3"/>
      <c r="W296" s="3"/>
      <c r="X296" s="3"/>
      <c r="Y296" s="3"/>
      <c r="AA296" s="1405" t="s">
        <v>2669</v>
      </c>
      <c r="AB296" s="1405"/>
      <c r="AC296" s="1405"/>
      <c r="AD296" s="1405"/>
      <c r="AE296" s="1405"/>
      <c r="AF296" s="1405"/>
      <c r="AG296" s="1405"/>
      <c r="AH296" s="1405"/>
      <c r="AI296" s="1405"/>
      <c r="AJ296" s="1405"/>
      <c r="AK296" s="1405"/>
      <c r="BN296" s="34"/>
    </row>
    <row r="297" spans="2:66" ht="13.15" customHeight="1">
      <c r="B297" s="3" t="s">
        <v>480</v>
      </c>
      <c r="C297" s="3"/>
      <c r="D297" s="3"/>
      <c r="E297" s="3"/>
      <c r="F297" s="3"/>
      <c r="H297" s="1405" t="s">
        <v>2664</v>
      </c>
      <c r="I297" s="1405"/>
      <c r="J297" s="1405"/>
      <c r="K297" s="1405"/>
      <c r="L297" s="1405"/>
      <c r="M297" s="1405"/>
      <c r="N297" s="1405"/>
      <c r="O297" s="1405"/>
      <c r="P297" s="1405"/>
      <c r="Q297" s="1405"/>
      <c r="R297" s="1405"/>
      <c r="T297" s="3" t="s">
        <v>75</v>
      </c>
      <c r="V297" s="3"/>
      <c r="W297" s="3"/>
      <c r="X297" s="3"/>
      <c r="Y297" s="3"/>
      <c r="AA297" s="1405" t="s">
        <v>2670</v>
      </c>
      <c r="AB297" s="1405"/>
      <c r="AC297" s="1405"/>
      <c r="AD297" s="1405"/>
      <c r="AE297" s="1405"/>
      <c r="AF297" s="1405"/>
      <c r="AG297" s="1405"/>
      <c r="AH297" s="1405"/>
      <c r="AI297" s="1405"/>
      <c r="AJ297" s="1405"/>
      <c r="AK297" s="1405"/>
      <c r="BN297" s="34"/>
    </row>
    <row r="298" spans="2:66" ht="13.15" customHeight="1">
      <c r="B298" s="3" t="s">
        <v>87</v>
      </c>
      <c r="C298" s="3"/>
      <c r="D298" s="3"/>
      <c r="E298" s="3"/>
      <c r="F298" s="3"/>
      <c r="H298" s="1405" t="s">
        <v>2665</v>
      </c>
      <c r="I298" s="1405"/>
      <c r="J298" s="1405"/>
      <c r="K298" s="1405"/>
      <c r="L298" s="1405"/>
      <c r="M298" s="1405"/>
      <c r="N298" s="1405"/>
      <c r="O298" s="1405"/>
      <c r="P298" s="1405"/>
      <c r="Q298" s="1405"/>
      <c r="R298" s="1405"/>
      <c r="T298" s="3" t="s">
        <v>87</v>
      </c>
      <c r="V298" s="3"/>
      <c r="W298" s="3"/>
      <c r="X298" s="3"/>
      <c r="Y298" s="3"/>
      <c r="AA298" s="1405" t="s">
        <v>2671</v>
      </c>
      <c r="AB298" s="1405"/>
      <c r="AC298" s="1405"/>
      <c r="AD298" s="1405"/>
      <c r="AE298" s="1405"/>
      <c r="AF298" s="1405"/>
      <c r="AG298" s="1405"/>
      <c r="AH298" s="1405"/>
      <c r="AI298" s="1405"/>
      <c r="AJ298" s="1405"/>
      <c r="AK298" s="1405"/>
      <c r="BN298" s="34"/>
    </row>
    <row r="299" spans="2:66" ht="13.15" customHeight="1">
      <c r="B299" s="3" t="s">
        <v>88</v>
      </c>
      <c r="C299" s="3"/>
      <c r="D299" s="3"/>
      <c r="E299" s="3"/>
      <c r="F299" s="3"/>
      <c r="G299" s="3"/>
      <c r="H299" s="1466" t="s">
        <v>2666</v>
      </c>
      <c r="I299" s="1466"/>
      <c r="J299" s="1466"/>
      <c r="K299" s="1466"/>
      <c r="L299" s="1466"/>
      <c r="M299" s="1466"/>
      <c r="N299" s="4" t="s">
        <v>207</v>
      </c>
      <c r="O299" s="4"/>
      <c r="P299" s="1446"/>
      <c r="Q299" s="1446"/>
      <c r="R299" s="1446"/>
      <c r="S299" s="3"/>
      <c r="T299" s="3" t="s">
        <v>88</v>
      </c>
      <c r="V299" s="3"/>
      <c r="W299" s="3"/>
      <c r="X299" s="3"/>
      <c r="Y299" s="3"/>
      <c r="AA299" s="1466" t="s">
        <v>2672</v>
      </c>
      <c r="AB299" s="1466"/>
      <c r="AC299" s="1466"/>
      <c r="AD299" s="1466"/>
      <c r="AE299" s="1466"/>
      <c r="AF299" s="1466"/>
      <c r="AG299" s="4" t="s">
        <v>207</v>
      </c>
      <c r="AH299" s="4"/>
      <c r="AI299" s="1446">
        <v>313</v>
      </c>
      <c r="AJ299" s="1446"/>
      <c r="AK299" s="1446"/>
      <c r="BN299" s="34"/>
    </row>
    <row r="300" spans="2:66" ht="13.15" customHeight="1">
      <c r="B300" s="3" t="s">
        <v>89</v>
      </c>
      <c r="C300" s="3"/>
      <c r="D300" s="3"/>
      <c r="E300" s="3"/>
      <c r="F300" s="3"/>
      <c r="G300" s="3"/>
      <c r="H300" s="1474"/>
      <c r="I300" s="1474"/>
      <c r="J300" s="1474"/>
      <c r="K300" s="1474"/>
      <c r="L300" s="1474"/>
      <c r="M300" s="1474"/>
      <c r="N300" s="4"/>
      <c r="O300" s="4"/>
      <c r="P300" s="35"/>
      <c r="Q300" s="35"/>
      <c r="R300" s="35"/>
      <c r="S300" s="3"/>
      <c r="T300" s="3" t="s">
        <v>89</v>
      </c>
      <c r="V300" s="3"/>
      <c r="W300" s="3"/>
      <c r="X300" s="3"/>
      <c r="Y300" s="3"/>
      <c r="AA300" s="1474"/>
      <c r="AB300" s="1474"/>
      <c r="AC300" s="1474"/>
      <c r="AD300" s="1474"/>
      <c r="AE300" s="1474"/>
      <c r="AF300" s="1474"/>
      <c r="AG300" s="4"/>
      <c r="AH300" s="4"/>
      <c r="AI300" s="35"/>
      <c r="AJ300" s="35"/>
      <c r="AK300" s="35"/>
      <c r="BN300" s="34"/>
    </row>
    <row r="301" spans="2:66" ht="13.15" customHeight="1">
      <c r="B301" s="3" t="s">
        <v>76</v>
      </c>
      <c r="C301" s="3"/>
      <c r="D301" s="3"/>
      <c r="E301" s="3"/>
      <c r="F301" s="3"/>
      <c r="G301" s="3"/>
      <c r="H301" s="1405" t="s">
        <v>2667</v>
      </c>
      <c r="I301" s="1405"/>
      <c r="J301" s="1405"/>
      <c r="K301" s="1405"/>
      <c r="L301" s="1405"/>
      <c r="M301" s="1405"/>
      <c r="N301" s="1404"/>
      <c r="O301" s="1404"/>
      <c r="P301" s="1404"/>
      <c r="Q301" s="1404"/>
      <c r="R301" s="1404"/>
      <c r="S301" s="3"/>
      <c r="T301" s="3" t="s">
        <v>76</v>
      </c>
      <c r="V301" s="3"/>
      <c r="W301" s="3"/>
      <c r="X301" s="3"/>
      <c r="Y301" s="3"/>
      <c r="AA301" s="1405" t="s">
        <v>2673</v>
      </c>
      <c r="AB301" s="1405"/>
      <c r="AC301" s="1405"/>
      <c r="AD301" s="1405"/>
      <c r="AE301" s="1405"/>
      <c r="AF301" s="1405"/>
      <c r="AG301" s="1404"/>
      <c r="AH301" s="1404"/>
      <c r="AI301" s="1404"/>
      <c r="AJ301" s="1404"/>
      <c r="AK301" s="1404"/>
      <c r="BN301" s="34"/>
    </row>
    <row r="302" spans="2:66" ht="13.15" customHeight="1">
      <c r="BN302" s="34"/>
    </row>
    <row r="303" spans="2:66" ht="13.15" customHeight="1">
      <c r="B303" s="3" t="s">
        <v>77</v>
      </c>
      <c r="C303" s="3"/>
      <c r="D303" s="3"/>
      <c r="E303" s="3"/>
      <c r="F303" s="3"/>
      <c r="H303" s="1404" t="s">
        <v>2662</v>
      </c>
      <c r="I303" s="1404"/>
      <c r="J303" s="1404"/>
      <c r="K303" s="1404"/>
      <c r="L303" s="1404"/>
      <c r="M303" s="1404"/>
      <c r="N303" s="1404"/>
      <c r="O303" s="1404"/>
      <c r="P303" s="1404"/>
      <c r="Q303" s="1404"/>
      <c r="R303" s="1404"/>
      <c r="T303" s="4" t="s">
        <v>890</v>
      </c>
      <c r="V303" s="3"/>
      <c r="W303" s="3"/>
      <c r="X303" s="3"/>
      <c r="Y303" s="3"/>
      <c r="AA303" s="1404" t="s">
        <v>2674</v>
      </c>
      <c r="AB303" s="1404"/>
      <c r="AC303" s="1404"/>
      <c r="AD303" s="1404"/>
      <c r="AE303" s="1404"/>
      <c r="AF303" s="1404"/>
      <c r="AG303" s="1404"/>
      <c r="AH303" s="1404"/>
      <c r="AI303" s="1404"/>
      <c r="AJ303" s="1404"/>
      <c r="AK303" s="1404"/>
      <c r="BN303" s="34"/>
    </row>
    <row r="304" spans="2:66" ht="13.15" customHeight="1">
      <c r="B304" s="3" t="s">
        <v>479</v>
      </c>
      <c r="C304" s="3"/>
      <c r="D304" s="3"/>
      <c r="E304" s="3"/>
      <c r="F304" s="3"/>
      <c r="H304" s="1405" t="s">
        <v>2663</v>
      </c>
      <c r="I304" s="1405"/>
      <c r="J304" s="1405"/>
      <c r="K304" s="1405"/>
      <c r="L304" s="1405"/>
      <c r="M304" s="1405"/>
      <c r="N304" s="1405"/>
      <c r="O304" s="1405"/>
      <c r="P304" s="1405"/>
      <c r="Q304" s="1405"/>
      <c r="R304" s="1405"/>
      <c r="T304" s="3" t="s">
        <v>479</v>
      </c>
      <c r="V304" s="3"/>
      <c r="W304" s="3"/>
      <c r="X304" s="3"/>
      <c r="Y304" s="3"/>
      <c r="AA304" s="1405" t="s">
        <v>2675</v>
      </c>
      <c r="AB304" s="1405"/>
      <c r="AC304" s="1405"/>
      <c r="AD304" s="1405"/>
      <c r="AE304" s="1405"/>
      <c r="AF304" s="1405"/>
      <c r="AG304" s="1405"/>
      <c r="AH304" s="1405"/>
      <c r="AI304" s="1405"/>
      <c r="AJ304" s="1405"/>
      <c r="AK304" s="1405"/>
      <c r="BN304" s="34"/>
    </row>
    <row r="305" spans="2:66" ht="13.15" customHeight="1">
      <c r="B305" s="3" t="s">
        <v>480</v>
      </c>
      <c r="C305" s="3"/>
      <c r="D305" s="3"/>
      <c r="E305" s="3"/>
      <c r="F305" s="3"/>
      <c r="H305" s="1405" t="s">
        <v>2664</v>
      </c>
      <c r="I305" s="1405"/>
      <c r="J305" s="1405"/>
      <c r="K305" s="1405"/>
      <c r="L305" s="1405"/>
      <c r="M305" s="1405"/>
      <c r="N305" s="1405"/>
      <c r="O305" s="1405"/>
      <c r="P305" s="1405"/>
      <c r="Q305" s="1405"/>
      <c r="R305" s="1405"/>
      <c r="T305" s="3" t="s">
        <v>75</v>
      </c>
      <c r="V305" s="3"/>
      <c r="W305" s="3"/>
      <c r="X305" s="3"/>
      <c r="Y305" s="3"/>
      <c r="AA305" s="1405" t="s">
        <v>2676</v>
      </c>
      <c r="AB305" s="1405"/>
      <c r="AC305" s="1405"/>
      <c r="AD305" s="1405"/>
      <c r="AE305" s="1405"/>
      <c r="AF305" s="1405"/>
      <c r="AG305" s="1405"/>
      <c r="AH305" s="1405"/>
      <c r="AI305" s="1405"/>
      <c r="AJ305" s="1405"/>
      <c r="AK305" s="1405"/>
      <c r="BN305" s="34"/>
    </row>
    <row r="306" spans="2:66" ht="13.15" customHeight="1">
      <c r="B306" s="3" t="s">
        <v>87</v>
      </c>
      <c r="C306" s="3"/>
      <c r="D306" s="3"/>
      <c r="E306" s="3"/>
      <c r="F306" s="3"/>
      <c r="H306" s="1405" t="s">
        <v>2665</v>
      </c>
      <c r="I306" s="1405"/>
      <c r="J306" s="1405"/>
      <c r="K306" s="1405"/>
      <c r="L306" s="1405"/>
      <c r="M306" s="1405"/>
      <c r="N306" s="1405"/>
      <c r="O306" s="1405"/>
      <c r="P306" s="1405"/>
      <c r="Q306" s="1405"/>
      <c r="R306" s="1405"/>
      <c r="T306" s="3" t="s">
        <v>87</v>
      </c>
      <c r="V306" s="3"/>
      <c r="W306" s="3"/>
      <c r="X306" s="3"/>
      <c r="Y306" s="3"/>
      <c r="AA306" s="1405" t="s">
        <v>2677</v>
      </c>
      <c r="AB306" s="1405"/>
      <c r="AC306" s="1405"/>
      <c r="AD306" s="1405"/>
      <c r="AE306" s="1405"/>
      <c r="AF306" s="1405"/>
      <c r="AG306" s="1405"/>
      <c r="AH306" s="1405"/>
      <c r="AI306" s="1405"/>
      <c r="AJ306" s="1405"/>
      <c r="AK306" s="1405"/>
      <c r="BN306" s="34"/>
    </row>
    <row r="307" spans="2:66" ht="13.15" customHeight="1">
      <c r="B307" s="3" t="s">
        <v>88</v>
      </c>
      <c r="C307" s="3"/>
      <c r="D307" s="3"/>
      <c r="E307" s="3"/>
      <c r="F307" s="3"/>
      <c r="G307" s="3"/>
      <c r="H307" s="1466" t="s">
        <v>2666</v>
      </c>
      <c r="I307" s="1466"/>
      <c r="J307" s="1466"/>
      <c r="K307" s="1466"/>
      <c r="L307" s="1466"/>
      <c r="M307" s="1466"/>
      <c r="N307" s="4" t="s">
        <v>207</v>
      </c>
      <c r="O307" s="4"/>
      <c r="P307" s="1446"/>
      <c r="Q307" s="1446"/>
      <c r="R307" s="1446"/>
      <c r="S307" s="3"/>
      <c r="T307" s="3" t="s">
        <v>88</v>
      </c>
      <c r="V307" s="3"/>
      <c r="W307" s="3"/>
      <c r="X307" s="3"/>
      <c r="Y307" s="3"/>
      <c r="AA307" s="1466" t="s">
        <v>2678</v>
      </c>
      <c r="AB307" s="1466"/>
      <c r="AC307" s="1466"/>
      <c r="AD307" s="1466"/>
      <c r="AE307" s="1466"/>
      <c r="AF307" s="1466"/>
      <c r="AG307" s="4" t="s">
        <v>207</v>
      </c>
      <c r="AH307" s="4"/>
      <c r="AI307" s="1446"/>
      <c r="AJ307" s="1446"/>
      <c r="AK307" s="1446"/>
      <c r="BN307" s="34"/>
    </row>
    <row r="308" spans="2:66" ht="13.15" customHeight="1">
      <c r="B308" s="3" t="s">
        <v>89</v>
      </c>
      <c r="C308" s="3"/>
      <c r="D308" s="3"/>
      <c r="E308" s="3"/>
      <c r="F308" s="3"/>
      <c r="G308" s="3"/>
      <c r="H308" s="1474"/>
      <c r="I308" s="1474"/>
      <c r="J308" s="1474"/>
      <c r="K308" s="1474"/>
      <c r="L308" s="1474"/>
      <c r="M308" s="1474"/>
      <c r="N308" s="4"/>
      <c r="O308" s="4"/>
      <c r="P308" s="35"/>
      <c r="Q308" s="35"/>
      <c r="R308" s="35"/>
      <c r="S308" s="3"/>
      <c r="T308" s="3" t="s">
        <v>89</v>
      </c>
      <c r="V308" s="3"/>
      <c r="W308" s="3"/>
      <c r="X308" s="3"/>
      <c r="Y308" s="3"/>
      <c r="AA308" s="1474"/>
      <c r="AB308" s="1474"/>
      <c r="AC308" s="1474"/>
      <c r="AD308" s="1474"/>
      <c r="AE308" s="1474"/>
      <c r="AF308" s="1474"/>
      <c r="AG308" s="4"/>
      <c r="AH308" s="4"/>
      <c r="AI308" s="35"/>
      <c r="AJ308" s="35"/>
      <c r="AK308" s="35"/>
      <c r="BN308" s="34"/>
    </row>
    <row r="309" spans="2:66" ht="13.15" customHeight="1">
      <c r="B309" s="3" t="s">
        <v>76</v>
      </c>
      <c r="C309" s="3"/>
      <c r="D309" s="3"/>
      <c r="E309" s="3"/>
      <c r="F309" s="3"/>
      <c r="G309" s="3"/>
      <c r="H309" s="1405" t="s">
        <v>2667</v>
      </c>
      <c r="I309" s="1405"/>
      <c r="J309" s="1405"/>
      <c r="K309" s="1405"/>
      <c r="L309" s="1405"/>
      <c r="M309" s="1405"/>
      <c r="N309" s="1404"/>
      <c r="O309" s="1404"/>
      <c r="P309" s="1404"/>
      <c r="Q309" s="1404"/>
      <c r="R309" s="1404"/>
      <c r="S309" s="3"/>
      <c r="T309" s="3" t="s">
        <v>76</v>
      </c>
      <c r="V309" s="3"/>
      <c r="W309" s="3"/>
      <c r="X309" s="3"/>
      <c r="Y309" s="3"/>
      <c r="AA309" s="1405" t="s">
        <v>2679</v>
      </c>
      <c r="AB309" s="1405"/>
      <c r="AC309" s="1405"/>
      <c r="AD309" s="1405"/>
      <c r="AE309" s="1405"/>
      <c r="AF309" s="1405"/>
      <c r="AG309" s="1404"/>
      <c r="AH309" s="1404"/>
      <c r="AI309" s="1404"/>
      <c r="AJ309" s="1404"/>
      <c r="AK309" s="1404"/>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922</v>
      </c>
      <c r="C311" s="3"/>
      <c r="D311" s="3"/>
      <c r="E311" s="3"/>
      <c r="F311" s="3"/>
      <c r="H311" s="1404" t="s">
        <v>2681</v>
      </c>
      <c r="I311" s="1404"/>
      <c r="J311" s="1404"/>
      <c r="K311" s="1404"/>
      <c r="L311" s="1404"/>
      <c r="M311" s="1404"/>
      <c r="N311" s="1404"/>
      <c r="O311" s="1404"/>
      <c r="P311" s="1404"/>
      <c r="Q311" s="1404"/>
      <c r="R311" s="1404"/>
      <c r="S311" s="3"/>
      <c r="T311" s="3" t="s">
        <v>366</v>
      </c>
      <c r="V311" s="3"/>
      <c r="W311" s="3"/>
      <c r="X311" s="3"/>
      <c r="Y311" s="3"/>
      <c r="AA311" s="1445" t="s">
        <v>2680</v>
      </c>
      <c r="AB311" s="1404"/>
      <c r="AC311" s="1404"/>
      <c r="AD311" s="1404"/>
      <c r="AE311" s="1404"/>
      <c r="AF311" s="1404"/>
      <c r="AG311" s="1404"/>
      <c r="AH311" s="1404"/>
      <c r="AI311" s="1404"/>
      <c r="AJ311" s="1404"/>
      <c r="AK311" s="1404"/>
      <c r="BN311" s="34"/>
    </row>
    <row r="312" spans="2:66" ht="13.15" customHeight="1">
      <c r="B312" s="3" t="s">
        <v>479</v>
      </c>
      <c r="C312" s="3"/>
      <c r="D312" s="3"/>
      <c r="E312" s="3"/>
      <c r="F312" s="3"/>
      <c r="H312" s="1405" t="s">
        <v>2682</v>
      </c>
      <c r="I312" s="1405"/>
      <c r="J312" s="1405"/>
      <c r="K312" s="1405"/>
      <c r="L312" s="1405"/>
      <c r="M312" s="1405"/>
      <c r="N312" s="1405"/>
      <c r="O312" s="1405"/>
      <c r="P312" s="1405"/>
      <c r="Q312" s="1405"/>
      <c r="R312" s="1405"/>
      <c r="S312" s="3"/>
      <c r="T312" s="3" t="s">
        <v>479</v>
      </c>
      <c r="V312" s="3"/>
      <c r="W312" s="3"/>
      <c r="X312" s="3"/>
      <c r="Y312" s="3"/>
      <c r="AA312" s="1405"/>
      <c r="AB312" s="1405"/>
      <c r="AC312" s="1405"/>
      <c r="AD312" s="1405"/>
      <c r="AE312" s="1405"/>
      <c r="AF312" s="1405"/>
      <c r="AG312" s="1405"/>
      <c r="AH312" s="1405"/>
      <c r="AI312" s="1405"/>
      <c r="AJ312" s="1405"/>
      <c r="AK312" s="1405"/>
      <c r="BN312" s="34"/>
    </row>
    <row r="313" spans="2:66" ht="13.15" customHeight="1">
      <c r="B313" s="3" t="s">
        <v>480</v>
      </c>
      <c r="C313" s="3"/>
      <c r="D313" s="3"/>
      <c r="E313" s="3"/>
      <c r="F313" s="3"/>
      <c r="H313" s="1405" t="s">
        <v>2683</v>
      </c>
      <c r="I313" s="1405"/>
      <c r="J313" s="1405"/>
      <c r="K313" s="1405"/>
      <c r="L313" s="1405"/>
      <c r="M313" s="1405"/>
      <c r="N313" s="1405"/>
      <c r="O313" s="1405"/>
      <c r="P313" s="1405"/>
      <c r="Q313" s="1405"/>
      <c r="R313" s="1405"/>
      <c r="S313" s="3"/>
      <c r="T313" s="3" t="s">
        <v>75</v>
      </c>
      <c r="V313" s="3"/>
      <c r="W313" s="3"/>
      <c r="X313" s="3"/>
      <c r="Y313" s="3"/>
      <c r="AA313" s="1405"/>
      <c r="AB313" s="1405"/>
      <c r="AC313" s="1405"/>
      <c r="AD313" s="1405"/>
      <c r="AE313" s="1405"/>
      <c r="AF313" s="1405"/>
      <c r="AG313" s="1405"/>
      <c r="AH313" s="1405"/>
      <c r="AI313" s="1405"/>
      <c r="AJ313" s="1405"/>
      <c r="AK313" s="1405"/>
      <c r="BN313" s="34"/>
    </row>
    <row r="314" spans="2:66" ht="13.15" customHeight="1">
      <c r="B314" s="3" t="s">
        <v>87</v>
      </c>
      <c r="C314" s="3"/>
      <c r="D314" s="3"/>
      <c r="E314" s="3"/>
      <c r="F314" s="3"/>
      <c r="H314" s="1405" t="s">
        <v>2684</v>
      </c>
      <c r="I314" s="1405"/>
      <c r="J314" s="1405"/>
      <c r="K314" s="1405"/>
      <c r="L314" s="1405"/>
      <c r="M314" s="1405"/>
      <c r="N314" s="1405"/>
      <c r="O314" s="1405"/>
      <c r="P314" s="1405"/>
      <c r="Q314" s="1405"/>
      <c r="R314" s="1405"/>
      <c r="S314" s="3"/>
      <c r="T314" s="3" t="s">
        <v>87</v>
      </c>
      <c r="V314" s="3"/>
      <c r="W314" s="3"/>
      <c r="X314" s="3"/>
      <c r="Y314" s="3"/>
      <c r="AA314" s="1405"/>
      <c r="AB314" s="1405"/>
      <c r="AC314" s="1405"/>
      <c r="AD314" s="1405"/>
      <c r="AE314" s="1405"/>
      <c r="AF314" s="1405"/>
      <c r="AG314" s="1405"/>
      <c r="AH314" s="1405"/>
      <c r="AI314" s="1405"/>
      <c r="AJ314" s="1405"/>
      <c r="AK314" s="1405"/>
      <c r="BN314" s="34"/>
    </row>
    <row r="315" spans="2:66" ht="13.15" customHeight="1">
      <c r="B315" s="3" t="s">
        <v>88</v>
      </c>
      <c r="C315" s="3"/>
      <c r="D315" s="3"/>
      <c r="E315" s="3"/>
      <c r="F315" s="3"/>
      <c r="G315" s="3"/>
      <c r="H315" s="1466" t="s">
        <v>2685</v>
      </c>
      <c r="I315" s="1466"/>
      <c r="J315" s="1466"/>
      <c r="K315" s="1466"/>
      <c r="L315" s="1466"/>
      <c r="M315" s="1466"/>
      <c r="N315" s="4" t="s">
        <v>207</v>
      </c>
      <c r="O315" s="4"/>
      <c r="P315" s="1446"/>
      <c r="Q315" s="1446"/>
      <c r="R315" s="1446"/>
      <c r="S315" s="3"/>
      <c r="T315" s="3" t="s">
        <v>88</v>
      </c>
      <c r="V315" s="3"/>
      <c r="W315" s="3"/>
      <c r="X315" s="3"/>
      <c r="Y315" s="3"/>
      <c r="AA315" s="1466"/>
      <c r="AB315" s="1466"/>
      <c r="AC315" s="1466"/>
      <c r="AD315" s="1466"/>
      <c r="AE315" s="1466"/>
      <c r="AF315" s="1466"/>
      <c r="AG315" s="4" t="s">
        <v>207</v>
      </c>
      <c r="AH315" s="4"/>
      <c r="AI315" s="1446"/>
      <c r="AJ315" s="1446"/>
      <c r="AK315" s="1446"/>
      <c r="BN315" s="34"/>
    </row>
    <row r="316" spans="2:66" ht="13.15" customHeight="1">
      <c r="B316" s="3" t="s">
        <v>89</v>
      </c>
      <c r="C316" s="3"/>
      <c r="D316" s="3"/>
      <c r="E316" s="3"/>
      <c r="F316" s="3"/>
      <c r="G316" s="3"/>
      <c r="H316" s="1474"/>
      <c r="I316" s="1474"/>
      <c r="J316" s="1474"/>
      <c r="K316" s="1474"/>
      <c r="L316" s="1474"/>
      <c r="M316" s="1474"/>
      <c r="N316" s="4"/>
      <c r="O316" s="4"/>
      <c r="P316" s="35"/>
      <c r="Q316" s="35"/>
      <c r="R316" s="35"/>
      <c r="S316" s="3"/>
      <c r="T316" s="3" t="s">
        <v>89</v>
      </c>
      <c r="V316" s="3"/>
      <c r="W316" s="3"/>
      <c r="X316" s="3"/>
      <c r="Y316" s="3"/>
      <c r="AA316" s="1474"/>
      <c r="AB316" s="1474"/>
      <c r="AC316" s="1474"/>
      <c r="AD316" s="1474"/>
      <c r="AE316" s="1474"/>
      <c r="AF316" s="1474"/>
      <c r="AG316" s="4"/>
      <c r="AH316" s="4"/>
      <c r="AI316" s="35"/>
      <c r="AJ316" s="35"/>
      <c r="AK316" s="35"/>
      <c r="BN316" s="34"/>
    </row>
    <row r="317" spans="2:66" ht="13.15" customHeight="1">
      <c r="B317" s="3" t="s">
        <v>76</v>
      </c>
      <c r="C317" s="3"/>
      <c r="D317" s="3"/>
      <c r="E317" s="3"/>
      <c r="F317" s="3"/>
      <c r="G317" s="3"/>
      <c r="H317" s="1405" t="s">
        <v>2686</v>
      </c>
      <c r="I317" s="1405"/>
      <c r="J317" s="1405"/>
      <c r="K317" s="1405"/>
      <c r="L317" s="1405"/>
      <c r="M317" s="1405"/>
      <c r="N317" s="1404"/>
      <c r="O317" s="1404"/>
      <c r="P317" s="1404"/>
      <c r="Q317" s="1404"/>
      <c r="R317" s="1404"/>
      <c r="S317" s="3"/>
      <c r="T317" s="3" t="s">
        <v>76</v>
      </c>
      <c r="V317" s="3"/>
      <c r="W317" s="3"/>
      <c r="X317" s="3"/>
      <c r="Y317" s="3"/>
      <c r="AA317" s="1405"/>
      <c r="AB317" s="1405"/>
      <c r="AC317" s="1405"/>
      <c r="AD317" s="1405"/>
      <c r="AE317" s="1405"/>
      <c r="AF317" s="1405"/>
      <c r="AG317" s="1404"/>
      <c r="AH317" s="1404"/>
      <c r="AI317" s="1404"/>
      <c r="AJ317" s="1404"/>
      <c r="AK317" s="1404"/>
      <c r="BN317" s="34"/>
    </row>
    <row r="318" spans="2:66" ht="13.15" customHeight="1">
      <c r="BN318" s="34"/>
    </row>
    <row r="319" spans="2:66" ht="13.15" customHeight="1">
      <c r="B319" s="4" t="s">
        <v>923</v>
      </c>
      <c r="C319" s="3"/>
      <c r="D319" s="3"/>
      <c r="E319" s="3"/>
      <c r="F319" s="3"/>
      <c r="H319" s="1404" t="s">
        <v>2687</v>
      </c>
      <c r="I319" s="1404"/>
      <c r="J319" s="1404"/>
      <c r="K319" s="1404"/>
      <c r="L319" s="1404"/>
      <c r="M319" s="1404"/>
      <c r="N319" s="1404"/>
      <c r="O319" s="1404"/>
      <c r="P319" s="1404"/>
      <c r="Q319" s="1404"/>
      <c r="R319" s="1404"/>
      <c r="T319" s="3" t="s">
        <v>367</v>
      </c>
      <c r="V319" s="3"/>
      <c r="W319" s="3"/>
      <c r="X319" s="3"/>
      <c r="Y319" s="3"/>
      <c r="AA319" s="1404" t="s">
        <v>2693</v>
      </c>
      <c r="AB319" s="1404"/>
      <c r="AC319" s="1404"/>
      <c r="AD319" s="1404"/>
      <c r="AE319" s="1404"/>
      <c r="AF319" s="1404"/>
      <c r="AG319" s="1404"/>
      <c r="AH319" s="1404"/>
      <c r="AI319" s="1404"/>
      <c r="AJ319" s="1404"/>
      <c r="AK319" s="1404"/>
      <c r="BN319" s="34"/>
    </row>
    <row r="320" spans="2:66" ht="13.15" customHeight="1">
      <c r="B320" s="3" t="s">
        <v>479</v>
      </c>
      <c r="C320" s="3"/>
      <c r="D320" s="3"/>
      <c r="E320" s="3"/>
      <c r="F320" s="3"/>
      <c r="H320" s="1405" t="s">
        <v>2688</v>
      </c>
      <c r="I320" s="1405"/>
      <c r="J320" s="1405"/>
      <c r="K320" s="1405"/>
      <c r="L320" s="1405"/>
      <c r="M320" s="1405"/>
      <c r="N320" s="1405"/>
      <c r="O320" s="1405"/>
      <c r="P320" s="1405"/>
      <c r="Q320" s="1405"/>
      <c r="R320" s="1405"/>
      <c r="T320" s="3" t="s">
        <v>479</v>
      </c>
      <c r="V320" s="3"/>
      <c r="W320" s="3"/>
      <c r="X320" s="3"/>
      <c r="Y320" s="3"/>
      <c r="AA320" s="1405" t="s">
        <v>2694</v>
      </c>
      <c r="AB320" s="1405"/>
      <c r="AC320" s="1405"/>
      <c r="AD320" s="1405"/>
      <c r="AE320" s="1405"/>
      <c r="AF320" s="1405"/>
      <c r="AG320" s="1405"/>
      <c r="AH320" s="1405"/>
      <c r="AI320" s="1405"/>
      <c r="AJ320" s="1405"/>
      <c r="AK320" s="1405"/>
      <c r="BN320" s="34"/>
    </row>
    <row r="321" spans="2:66" ht="13.15" customHeight="1">
      <c r="B321" s="3" t="s">
        <v>480</v>
      </c>
      <c r="C321" s="3"/>
      <c r="D321" s="3"/>
      <c r="E321" s="3"/>
      <c r="F321" s="3"/>
      <c r="H321" s="1405" t="s">
        <v>2689</v>
      </c>
      <c r="I321" s="1405"/>
      <c r="J321" s="1405"/>
      <c r="K321" s="1405"/>
      <c r="L321" s="1405"/>
      <c r="M321" s="1405"/>
      <c r="N321" s="1405"/>
      <c r="O321" s="1405"/>
      <c r="P321" s="1405"/>
      <c r="Q321" s="1405"/>
      <c r="R321" s="1405"/>
      <c r="T321" s="3" t="s">
        <v>75</v>
      </c>
      <c r="V321" s="3"/>
      <c r="W321" s="3"/>
      <c r="X321" s="3"/>
      <c r="Y321" s="3"/>
      <c r="AA321" s="1405" t="s">
        <v>2695</v>
      </c>
      <c r="AB321" s="1405"/>
      <c r="AC321" s="1405"/>
      <c r="AD321" s="1405"/>
      <c r="AE321" s="1405"/>
      <c r="AF321" s="1405"/>
      <c r="AG321" s="1405"/>
      <c r="AH321" s="1405"/>
      <c r="AI321" s="1405"/>
      <c r="AJ321" s="1405"/>
      <c r="AK321" s="1405"/>
      <c r="BN321" s="34"/>
    </row>
    <row r="322" spans="2:66" ht="13.15" customHeight="1">
      <c r="B322" s="3" t="s">
        <v>87</v>
      </c>
      <c r="C322" s="3"/>
      <c r="D322" s="3"/>
      <c r="E322" s="3"/>
      <c r="F322" s="3"/>
      <c r="H322" s="1405" t="s">
        <v>2690</v>
      </c>
      <c r="I322" s="1405"/>
      <c r="J322" s="1405"/>
      <c r="K322" s="1405"/>
      <c r="L322" s="1405"/>
      <c r="M322" s="1405"/>
      <c r="N322" s="1405"/>
      <c r="O322" s="1405"/>
      <c r="P322" s="1405"/>
      <c r="Q322" s="1405"/>
      <c r="R322" s="1405"/>
      <c r="T322" s="3" t="s">
        <v>87</v>
      </c>
      <c r="V322" s="3"/>
      <c r="W322" s="3"/>
      <c r="X322" s="3"/>
      <c r="Y322" s="3"/>
      <c r="AA322" s="1405" t="s">
        <v>2696</v>
      </c>
      <c r="AB322" s="1405"/>
      <c r="AC322" s="1405"/>
      <c r="AD322" s="1405"/>
      <c r="AE322" s="1405"/>
      <c r="AF322" s="1405"/>
      <c r="AG322" s="1405"/>
      <c r="AH322" s="1405"/>
      <c r="AI322" s="1405"/>
      <c r="AJ322" s="1405"/>
      <c r="AK322" s="1405"/>
      <c r="BN322" s="34"/>
    </row>
    <row r="323" spans="2:66" ht="13.15" customHeight="1">
      <c r="B323" s="3" t="s">
        <v>88</v>
      </c>
      <c r="C323" s="3"/>
      <c r="D323" s="3"/>
      <c r="E323" s="3"/>
      <c r="F323" s="3"/>
      <c r="G323" s="3"/>
      <c r="H323" s="1466" t="s">
        <v>2691</v>
      </c>
      <c r="I323" s="1466"/>
      <c r="J323" s="1466"/>
      <c r="K323" s="1466"/>
      <c r="L323" s="1466"/>
      <c r="M323" s="1466"/>
      <c r="N323" s="4" t="s">
        <v>207</v>
      </c>
      <c r="O323" s="4"/>
      <c r="P323" s="1446"/>
      <c r="Q323" s="1446"/>
      <c r="R323" s="1446"/>
      <c r="S323" s="3"/>
      <c r="T323" s="3" t="s">
        <v>88</v>
      </c>
      <c r="V323" s="3"/>
      <c r="W323" s="3"/>
      <c r="X323" s="3"/>
      <c r="Y323" s="3"/>
      <c r="AA323" s="1466" t="s">
        <v>2697</v>
      </c>
      <c r="AB323" s="1466"/>
      <c r="AC323" s="1466"/>
      <c r="AD323" s="1466"/>
      <c r="AE323" s="1466"/>
      <c r="AF323" s="1466"/>
      <c r="AG323" s="4" t="s">
        <v>207</v>
      </c>
      <c r="AH323" s="4"/>
      <c r="AI323" s="1446"/>
      <c r="AJ323" s="1446"/>
      <c r="AK323" s="1446"/>
    </row>
    <row r="324" spans="2:66" ht="13.15" customHeight="1">
      <c r="B324" s="3" t="s">
        <v>89</v>
      </c>
      <c r="C324" s="3"/>
      <c r="D324" s="3"/>
      <c r="E324" s="3"/>
      <c r="F324" s="3"/>
      <c r="G324" s="3"/>
      <c r="H324" s="1474"/>
      <c r="I324" s="1474"/>
      <c r="J324" s="1474"/>
      <c r="K324" s="1474"/>
      <c r="L324" s="1474"/>
      <c r="M324" s="1474"/>
      <c r="N324" s="4"/>
      <c r="O324" s="4"/>
      <c r="P324" s="35"/>
      <c r="Q324" s="35"/>
      <c r="R324" s="35"/>
      <c r="S324" s="3"/>
      <c r="T324" s="3" t="s">
        <v>89</v>
      </c>
      <c r="V324" s="3"/>
      <c r="W324" s="3"/>
      <c r="X324" s="3"/>
      <c r="Y324" s="3"/>
      <c r="AA324" s="1474"/>
      <c r="AB324" s="1474"/>
      <c r="AC324" s="1474"/>
      <c r="AD324" s="1474"/>
      <c r="AE324" s="1474"/>
      <c r="AF324" s="1474"/>
      <c r="AG324" s="4"/>
      <c r="AH324" s="4"/>
      <c r="AI324" s="35"/>
      <c r="AJ324" s="35"/>
      <c r="AK324" s="35"/>
    </row>
    <row r="325" spans="2:66" ht="13.15" customHeight="1">
      <c r="B325" s="3" t="s">
        <v>76</v>
      </c>
      <c r="C325" s="3"/>
      <c r="D325" s="3"/>
      <c r="E325" s="3"/>
      <c r="F325" s="3"/>
      <c r="G325" s="3"/>
      <c r="H325" s="1405" t="s">
        <v>2692</v>
      </c>
      <c r="I325" s="1405"/>
      <c r="J325" s="1405"/>
      <c r="K325" s="1405"/>
      <c r="L325" s="1405"/>
      <c r="M325" s="1405"/>
      <c r="N325" s="1404"/>
      <c r="O325" s="1404"/>
      <c r="P325" s="1404"/>
      <c r="Q325" s="1404"/>
      <c r="R325" s="1404"/>
      <c r="S325" s="3"/>
      <c r="T325" s="3" t="s">
        <v>76</v>
      </c>
      <c r="V325" s="3"/>
      <c r="W325" s="3"/>
      <c r="X325" s="3"/>
      <c r="Y325" s="3"/>
      <c r="AA325" s="1405" t="s">
        <v>2698</v>
      </c>
      <c r="AB325" s="1405"/>
      <c r="AC325" s="1405"/>
      <c r="AD325" s="1405"/>
      <c r="AE325" s="1405"/>
      <c r="AF325" s="1405"/>
      <c r="AG325" s="1404"/>
      <c r="AH325" s="1404"/>
      <c r="AI325" s="1404"/>
      <c r="AJ325" s="1404"/>
      <c r="AK325" s="1404"/>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404" t="s">
        <v>2699</v>
      </c>
      <c r="I327" s="1404"/>
      <c r="J327" s="1404"/>
      <c r="K327" s="1404"/>
      <c r="L327" s="1404"/>
      <c r="M327" s="1404"/>
      <c r="N327" s="1404"/>
      <c r="O327" s="1404"/>
      <c r="P327" s="1404"/>
      <c r="Q327" s="1404"/>
      <c r="R327" s="1404"/>
      <c r="T327" s="3" t="s">
        <v>369</v>
      </c>
      <c r="V327" s="3"/>
      <c r="W327" s="3"/>
      <c r="X327" s="3"/>
      <c r="Y327" s="3"/>
      <c r="AA327" s="1404"/>
      <c r="AB327" s="1404"/>
      <c r="AC327" s="1404"/>
      <c r="AD327" s="1404"/>
      <c r="AE327" s="1404"/>
      <c r="AF327" s="1404"/>
      <c r="AG327" s="1404"/>
      <c r="AH327" s="1404"/>
      <c r="AI327" s="1404"/>
      <c r="AJ327" s="1404"/>
      <c r="AK327" s="1404"/>
    </row>
    <row r="328" spans="2:66" ht="13.15" customHeight="1">
      <c r="B328" s="3" t="s">
        <v>479</v>
      </c>
      <c r="C328" s="3"/>
      <c r="D328" s="3"/>
      <c r="E328" s="3"/>
      <c r="F328" s="3"/>
      <c r="H328" s="1405" t="s">
        <v>2700</v>
      </c>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3.15" customHeight="1">
      <c r="B329" s="3" t="s">
        <v>480</v>
      </c>
      <c r="C329" s="3"/>
      <c r="D329" s="3"/>
      <c r="E329" s="3"/>
      <c r="F329" s="3"/>
      <c r="H329" s="1405" t="s">
        <v>2701</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3.15" customHeight="1">
      <c r="B330" s="3" t="s">
        <v>87</v>
      </c>
      <c r="C330" s="3"/>
      <c r="D330" s="3"/>
      <c r="E330" s="3"/>
      <c r="F330" s="3"/>
      <c r="H330" s="1405" t="s">
        <v>2702</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3.15" customHeight="1">
      <c r="B331" s="3" t="s">
        <v>88</v>
      </c>
      <c r="C331" s="3"/>
      <c r="D331" s="3"/>
      <c r="E331" s="3"/>
      <c r="F331" s="3"/>
      <c r="G331" s="3"/>
      <c r="H331" s="1466" t="s">
        <v>2703</v>
      </c>
      <c r="I331" s="1466"/>
      <c r="J331" s="1466"/>
      <c r="K331" s="1466"/>
      <c r="L331" s="1466"/>
      <c r="M331" s="1466"/>
      <c r="N331" s="4" t="s">
        <v>207</v>
      </c>
      <c r="O331" s="4"/>
      <c r="P331" s="1446"/>
      <c r="Q331" s="1446"/>
      <c r="R331" s="1446"/>
      <c r="S331" s="3"/>
      <c r="T331" s="3" t="s">
        <v>88</v>
      </c>
      <c r="V331" s="3"/>
      <c r="W331" s="3"/>
      <c r="X331" s="3"/>
      <c r="Y331" s="3"/>
      <c r="AA331" s="1466"/>
      <c r="AB331" s="1466"/>
      <c r="AC331" s="1466"/>
      <c r="AD331" s="1466"/>
      <c r="AE331" s="1466"/>
      <c r="AF331" s="1466"/>
      <c r="AG331" s="4" t="s">
        <v>207</v>
      </c>
      <c r="AH331" s="4"/>
      <c r="AI331" s="1446"/>
      <c r="AJ331" s="1446"/>
      <c r="AK331" s="1446"/>
    </row>
    <row r="332" spans="2:66" ht="13.15" customHeight="1">
      <c r="B332" s="3" t="s">
        <v>89</v>
      </c>
      <c r="C332" s="3"/>
      <c r="D332" s="3"/>
      <c r="E332" s="3"/>
      <c r="F332" s="3"/>
      <c r="G332" s="3"/>
      <c r="H332" s="1474"/>
      <c r="I332" s="1474"/>
      <c r="J332" s="1474"/>
      <c r="K332" s="1474"/>
      <c r="L332" s="1474"/>
      <c r="M332" s="1474"/>
      <c r="N332" s="4"/>
      <c r="O332" s="4"/>
      <c r="P332" s="35"/>
      <c r="Q332" s="35"/>
      <c r="R332" s="35"/>
      <c r="S332" s="3"/>
      <c r="T332" s="3" t="s">
        <v>89</v>
      </c>
      <c r="V332" s="3"/>
      <c r="W332" s="3"/>
      <c r="X332" s="3"/>
      <c r="Y332" s="3"/>
      <c r="AA332" s="1474"/>
      <c r="AB332" s="1474"/>
      <c r="AC332" s="1474"/>
      <c r="AD332" s="1474"/>
      <c r="AE332" s="1474"/>
      <c r="AF332" s="1474"/>
      <c r="AG332" s="4"/>
      <c r="AH332" s="4"/>
      <c r="AI332" s="35"/>
      <c r="AJ332" s="35"/>
      <c r="AK332" s="35"/>
    </row>
    <row r="333" spans="2:66" ht="13.15" customHeight="1">
      <c r="B333" s="3" t="s">
        <v>76</v>
      </c>
      <c r="C333" s="3"/>
      <c r="D333" s="3"/>
      <c r="E333" s="3"/>
      <c r="F333" s="3"/>
      <c r="G333" s="3"/>
      <c r="H333" s="1405" t="s">
        <v>2704</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404" t="s">
        <v>2705</v>
      </c>
      <c r="I335" s="1404"/>
      <c r="J335" s="1404"/>
      <c r="K335" s="1404"/>
      <c r="L335" s="1404"/>
      <c r="M335" s="1404"/>
      <c r="N335" s="1404"/>
      <c r="O335" s="1404"/>
      <c r="P335" s="1404"/>
      <c r="Q335" s="1404"/>
      <c r="R335" s="1404"/>
      <c r="T335" s="218" t="s">
        <v>899</v>
      </c>
      <c r="V335" s="3"/>
      <c r="W335" s="3"/>
      <c r="X335" s="3"/>
      <c r="Y335" s="3"/>
      <c r="AA335" s="1404" t="s">
        <v>2641</v>
      </c>
      <c r="AB335" s="1404"/>
      <c r="AC335" s="1404"/>
      <c r="AD335" s="1404"/>
      <c r="AE335" s="1404"/>
      <c r="AF335" s="1404"/>
      <c r="AG335" s="1404"/>
      <c r="AH335" s="1404"/>
      <c r="AI335" s="1404"/>
      <c r="AJ335" s="1404"/>
      <c r="AK335" s="1404"/>
    </row>
    <row r="336" spans="2:66" ht="13.15" customHeight="1">
      <c r="B336" s="3" t="s">
        <v>479</v>
      </c>
      <c r="C336" s="3"/>
      <c r="D336" s="3"/>
      <c r="E336" s="3"/>
      <c r="F336" s="3"/>
      <c r="H336" s="1405" t="s">
        <v>2706</v>
      </c>
      <c r="I336" s="1405"/>
      <c r="J336" s="1405"/>
      <c r="K336" s="1405"/>
      <c r="L336" s="1405"/>
      <c r="M336" s="1405"/>
      <c r="N336" s="1405"/>
      <c r="O336" s="1405"/>
      <c r="P336" s="1405"/>
      <c r="Q336" s="1405"/>
      <c r="R336" s="1405"/>
      <c r="T336" s="3" t="s">
        <v>479</v>
      </c>
      <c r="V336" s="3"/>
      <c r="W336" s="3"/>
      <c r="X336" s="3"/>
      <c r="Y336" s="3"/>
      <c r="AA336" s="1405" t="s">
        <v>2660</v>
      </c>
      <c r="AB336" s="1405"/>
      <c r="AC336" s="1405"/>
      <c r="AD336" s="1405"/>
      <c r="AE336" s="1405"/>
      <c r="AF336" s="1405"/>
      <c r="AG336" s="1405"/>
      <c r="AH336" s="1405"/>
      <c r="AI336" s="1405"/>
      <c r="AJ336" s="1405"/>
      <c r="AK336" s="1405"/>
    </row>
    <row r="337" spans="1:66" ht="13.15" customHeight="1">
      <c r="B337" s="3" t="s">
        <v>75</v>
      </c>
      <c r="C337" s="3"/>
      <c r="D337" s="3"/>
      <c r="E337" s="3"/>
      <c r="F337" s="3"/>
      <c r="H337" s="1405" t="s">
        <v>2701</v>
      </c>
      <c r="I337" s="1405"/>
      <c r="J337" s="1405"/>
      <c r="K337" s="1405"/>
      <c r="L337" s="1405"/>
      <c r="M337" s="1405"/>
      <c r="N337" s="1405"/>
      <c r="O337" s="1405"/>
      <c r="P337" s="1405"/>
      <c r="Q337" s="1405"/>
      <c r="R337" s="1405"/>
      <c r="T337" s="3" t="s">
        <v>75</v>
      </c>
      <c r="V337" s="3"/>
      <c r="W337" s="3"/>
      <c r="X337" s="3"/>
      <c r="Y337" s="3"/>
      <c r="AA337" s="1405" t="s">
        <v>2661</v>
      </c>
      <c r="AB337" s="1405"/>
      <c r="AC337" s="1405"/>
      <c r="AD337" s="1405"/>
      <c r="AE337" s="1405"/>
      <c r="AF337" s="1405"/>
      <c r="AG337" s="1405"/>
      <c r="AH337" s="1405"/>
      <c r="AI337" s="1405"/>
      <c r="AJ337" s="1405"/>
      <c r="AK337" s="1405"/>
    </row>
    <row r="338" spans="1:66" ht="13.15" customHeight="1">
      <c r="B338" s="3" t="s">
        <v>87</v>
      </c>
      <c r="C338" s="3"/>
      <c r="D338" s="3"/>
      <c r="E338" s="3"/>
      <c r="F338" s="3"/>
      <c r="G338" s="3"/>
      <c r="H338" s="1551" t="s">
        <v>2709</v>
      </c>
      <c r="I338" s="1405"/>
      <c r="J338" s="1405"/>
      <c r="K338" s="1405"/>
      <c r="L338" s="1405"/>
      <c r="M338" s="1405"/>
      <c r="N338" s="1405"/>
      <c r="O338" s="1405"/>
      <c r="P338" s="1405"/>
      <c r="Q338" s="1405"/>
      <c r="R338" s="1405"/>
      <c r="T338" s="3" t="s">
        <v>87</v>
      </c>
      <c r="V338" s="3"/>
      <c r="W338" s="3"/>
      <c r="X338" s="3"/>
      <c r="Y338" s="3"/>
      <c r="AA338" s="1551" t="s">
        <v>2711</v>
      </c>
      <c r="AB338" s="1405"/>
      <c r="AC338" s="1405"/>
      <c r="AD338" s="1405"/>
      <c r="AE338" s="1405"/>
      <c r="AF338" s="1405"/>
      <c r="AG338" s="1405"/>
      <c r="AH338" s="1405"/>
      <c r="AI338" s="1405"/>
      <c r="AJ338" s="1405"/>
      <c r="AK338" s="1405"/>
    </row>
    <row r="339" spans="1:66" ht="13.15" customHeight="1">
      <c r="B339" s="3" t="s">
        <v>88</v>
      </c>
      <c r="C339" s="3"/>
      <c r="D339" s="3"/>
      <c r="E339" s="3"/>
      <c r="F339" s="3"/>
      <c r="G339" s="3"/>
      <c r="H339" s="1466" t="s">
        <v>2707</v>
      </c>
      <c r="I339" s="1466"/>
      <c r="J339" s="1466"/>
      <c r="K339" s="1466"/>
      <c r="L339" s="1466"/>
      <c r="M339" s="1466"/>
      <c r="N339" s="4" t="s">
        <v>207</v>
      </c>
      <c r="O339" s="4"/>
      <c r="P339" s="1446"/>
      <c r="Q339" s="1446"/>
      <c r="R339" s="1446"/>
      <c r="S339" s="3"/>
      <c r="T339" s="3" t="s">
        <v>88</v>
      </c>
      <c r="V339" s="3"/>
      <c r="W339" s="3"/>
      <c r="X339" s="3"/>
      <c r="Y339" s="3"/>
      <c r="AA339" s="1780" t="s">
        <v>2710</v>
      </c>
      <c r="AB339" s="1466"/>
      <c r="AC339" s="1466"/>
      <c r="AD339" s="1466"/>
      <c r="AE339" s="1466"/>
      <c r="AF339" s="1466"/>
      <c r="AG339" s="4" t="s">
        <v>207</v>
      </c>
      <c r="AH339" s="4"/>
      <c r="AI339" s="1446"/>
      <c r="AJ339" s="1446"/>
      <c r="AK339" s="1446"/>
    </row>
    <row r="340" spans="1:66" ht="13.15" customHeight="1">
      <c r="B340" s="3" t="s">
        <v>89</v>
      </c>
      <c r="C340" s="3"/>
      <c r="D340" s="3"/>
      <c r="E340" s="3"/>
      <c r="F340" s="3"/>
      <c r="G340" s="3"/>
      <c r="H340" s="1474"/>
      <c r="I340" s="1474"/>
      <c r="J340" s="1474"/>
      <c r="K340" s="1474"/>
      <c r="L340" s="1474"/>
      <c r="M340" s="1474"/>
      <c r="N340" s="4"/>
      <c r="O340" s="4"/>
      <c r="P340" s="35"/>
      <c r="Q340" s="35"/>
      <c r="R340" s="35"/>
      <c r="S340" s="3"/>
      <c r="T340" s="3" t="s">
        <v>89</v>
      </c>
      <c r="V340" s="3"/>
      <c r="W340" s="3"/>
      <c r="X340" s="3"/>
      <c r="Y340" s="3"/>
      <c r="AA340" s="1474"/>
      <c r="AB340" s="1474"/>
      <c r="AC340" s="1474"/>
      <c r="AD340" s="1474"/>
      <c r="AE340" s="1474"/>
      <c r="AF340" s="1474"/>
      <c r="AG340" s="4"/>
      <c r="AH340" s="4"/>
      <c r="AI340" s="35"/>
      <c r="AJ340" s="35"/>
      <c r="AK340" s="35"/>
    </row>
    <row r="341" spans="1:66" ht="13.15" customHeight="1">
      <c r="B341" s="3" t="s">
        <v>76</v>
      </c>
      <c r="C341" s="3"/>
      <c r="D341" s="3"/>
      <c r="E341" s="3"/>
      <c r="F341" s="3"/>
      <c r="G341" s="3"/>
      <c r="H341" s="1405" t="s">
        <v>2708</v>
      </c>
      <c r="I341" s="1405"/>
      <c r="J341" s="1405"/>
      <c r="K341" s="1405"/>
      <c r="L341" s="1405"/>
      <c r="M341" s="1405"/>
      <c r="N341" s="1404"/>
      <c r="O341" s="1404"/>
      <c r="P341" s="1404"/>
      <c r="Q341" s="1404"/>
      <c r="R341" s="1404"/>
      <c r="S341" s="3"/>
      <c r="T341" s="3" t="s">
        <v>76</v>
      </c>
      <c r="V341" s="3"/>
      <c r="W341" s="3"/>
      <c r="X341" s="3"/>
      <c r="Y341" s="3"/>
      <c r="AA341" s="1551" t="s">
        <v>2712</v>
      </c>
      <c r="AB341" s="1405"/>
      <c r="AC341" s="1405"/>
      <c r="AD341" s="1405"/>
      <c r="AE341" s="1405"/>
      <c r="AF341" s="1405"/>
      <c r="AG341" s="1404"/>
      <c r="AH341" s="1404"/>
      <c r="AI341" s="1404"/>
      <c r="AJ341" s="1404"/>
      <c r="AK341" s="1404"/>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15" customHeight="1">
      <c r="B343" s="3"/>
      <c r="C343" s="4"/>
      <c r="D343" s="4"/>
      <c r="E343" s="4"/>
      <c r="F343" s="4"/>
      <c r="I343" s="218" t="s">
        <v>900</v>
      </c>
      <c r="P343" s="1445" t="s">
        <v>599</v>
      </c>
      <c r="Q343" s="1404"/>
      <c r="R343" s="1404"/>
      <c r="S343" s="1404"/>
      <c r="T343" s="1404"/>
      <c r="U343" s="1404"/>
      <c r="V343" s="1404"/>
      <c r="W343" s="1404"/>
      <c r="X343" s="1404"/>
      <c r="Y343" s="1404"/>
      <c r="Z343" s="1404"/>
      <c r="AA343" s="1404"/>
      <c r="AB343" s="1404"/>
      <c r="AC343" s="1404"/>
      <c r="AD343" s="1404"/>
      <c r="AE343" s="1404"/>
      <c r="BN343" t="s">
        <v>677</v>
      </c>
    </row>
    <row r="344" spans="1:66" ht="13.15"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3.1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3.1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3.15" customHeight="1">
      <c r="B347" s="4"/>
      <c r="C347" s="4"/>
      <c r="D347" s="4"/>
      <c r="E347" s="4"/>
      <c r="F347" s="4"/>
      <c r="G347" s="4"/>
      <c r="H347" s="324"/>
      <c r="I347" s="4" t="s">
        <v>88</v>
      </c>
      <c r="P347" s="1474"/>
      <c r="Q347" s="1474"/>
      <c r="R347" s="1474"/>
      <c r="S347" s="1474"/>
      <c r="T347" s="1474"/>
      <c r="U347" s="1474"/>
      <c r="V347" s="1474"/>
      <c r="W347" s="1474"/>
      <c r="X347" s="1474"/>
      <c r="Y347" s="1474"/>
      <c r="Z347" s="1474"/>
      <c r="AA347" s="4" t="s">
        <v>207</v>
      </c>
      <c r="AB347" s="4"/>
      <c r="AC347" s="1487"/>
      <c r="AD347" s="1487"/>
      <c r="AE347" s="1487"/>
      <c r="AF347" s="324"/>
      <c r="AG347" s="4"/>
      <c r="AH347" s="4"/>
      <c r="AI347" s="4"/>
      <c r="AJ347" s="4"/>
      <c r="AK347" s="4"/>
    </row>
    <row r="348" spans="1:66" ht="13.15" customHeight="1">
      <c r="B348" s="4"/>
      <c r="C348" s="4"/>
      <c r="D348" s="4"/>
      <c r="E348" s="4"/>
      <c r="F348" s="4"/>
      <c r="G348" s="4"/>
      <c r="H348" s="324"/>
      <c r="I348" s="4" t="s">
        <v>89</v>
      </c>
      <c r="P348" s="1474"/>
      <c r="Q348" s="1474"/>
      <c r="R348" s="1474"/>
      <c r="S348" s="1474"/>
      <c r="T348" s="1474"/>
      <c r="U348" s="1474"/>
      <c r="V348" s="1474"/>
      <c r="W348" s="1474"/>
      <c r="X348" s="1474"/>
      <c r="Y348" s="1474"/>
      <c r="Z348" s="1474"/>
      <c r="AF348" s="324"/>
      <c r="AG348" s="4"/>
      <c r="AH348" s="4"/>
      <c r="AI348" s="35"/>
      <c r="AJ348" s="35"/>
      <c r="AK348" s="35"/>
    </row>
    <row r="349" spans="1:66" ht="13.1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3.15" customHeight="1">
      <c r="T350" s="8"/>
      <c r="U350" s="8"/>
      <c r="V350" s="8"/>
      <c r="W350" s="8"/>
      <c r="X350" s="8"/>
      <c r="Y350" s="8"/>
      <c r="Z350" s="8"/>
      <c r="AU350" s="95"/>
      <c r="AV350" s="95"/>
      <c r="AW350" s="95"/>
      <c r="AX350" s="95"/>
      <c r="AY350" s="95"/>
    </row>
    <row r="351" spans="1:66" ht="13.15" customHeight="1">
      <c r="A351" s="1464" t="s">
        <v>550</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1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791</v>
      </c>
    </row>
    <row r="355" spans="1:46" ht="13.15" customHeight="1">
      <c r="D355" s="3" t="s">
        <v>2417</v>
      </c>
      <c r="M355" s="1403" t="s">
        <v>553</v>
      </c>
      <c r="N355" s="1403"/>
      <c r="P355" t="s">
        <v>1763</v>
      </c>
      <c r="AJ355" s="1403" t="s">
        <v>677</v>
      </c>
      <c r="AK355" s="1403"/>
    </row>
    <row r="356" spans="1:46" ht="13.15" customHeight="1">
      <c r="D356" s="3" t="s">
        <v>1752</v>
      </c>
      <c r="M356" s="1403" t="s">
        <v>599</v>
      </c>
      <c r="N356" s="1403"/>
      <c r="P356" s="3" t="s">
        <v>1909</v>
      </c>
      <c r="AJ356" s="1451"/>
      <c r="AK356" s="1451"/>
    </row>
    <row r="357" spans="1:46" ht="13.15" customHeight="1">
      <c r="D357" s="3" t="s">
        <v>713</v>
      </c>
      <c r="M357" s="1403" t="s">
        <v>599</v>
      </c>
      <c r="N357" s="1403"/>
      <c r="P357" t="s">
        <v>1762</v>
      </c>
      <c r="AJ357" s="1403" t="s">
        <v>677</v>
      </c>
      <c r="AK357" s="1403"/>
    </row>
    <row r="358" spans="1:46" ht="13.15" customHeight="1">
      <c r="D358" s="3" t="s">
        <v>714</v>
      </c>
      <c r="M358" s="1403" t="s">
        <v>599</v>
      </c>
      <c r="N358" s="1403"/>
      <c r="Q358" s="4"/>
    </row>
    <row r="359" spans="1:46" ht="13.15" customHeight="1">
      <c r="Q359" s="4"/>
    </row>
    <row r="360" spans="1:46" ht="13.15" customHeight="1">
      <c r="Q360" s="4"/>
    </row>
    <row r="361" spans="1:46" ht="13.15" customHeight="1">
      <c r="A361" s="2" t="s">
        <v>584</v>
      </c>
      <c r="B361" s="2"/>
      <c r="C361" s="2" t="s">
        <v>560</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3.15" customHeight="1">
      <c r="E364" t="s">
        <v>371</v>
      </c>
      <c r="Y364" s="1403" t="s">
        <v>599</v>
      </c>
      <c r="Z364" s="1403"/>
    </row>
    <row r="365" spans="1:46" ht="13.15" customHeight="1">
      <c r="D365" s="4" t="s">
        <v>997</v>
      </c>
      <c r="Q365" s="1404"/>
      <c r="R365" s="1404"/>
      <c r="S365" s="1404"/>
      <c r="T365" s="1404"/>
      <c r="U365" s="1404"/>
      <c r="V365" s="1404"/>
      <c r="W365" s="1404"/>
      <c r="X365" s="1404"/>
      <c r="Y365" s="1404"/>
      <c r="Z365" s="1404"/>
      <c r="AA365" s="1404"/>
      <c r="AB365" s="1404"/>
      <c r="AC365" s="1404"/>
      <c r="AD365" s="1404"/>
      <c r="AE365" s="1404"/>
      <c r="AF365" s="1404"/>
      <c r="AG365" s="1404"/>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3.15" customHeight="1">
      <c r="E368" s="1444" t="s">
        <v>715</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3.1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3.1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3.1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3.1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3.15"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3.1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3.15" customHeight="1">
      <c r="C375" s="546"/>
      <c r="E375" s="4"/>
      <c r="F375" s="4"/>
      <c r="G375" s="4"/>
      <c r="H375" s="4"/>
      <c r="I375" s="4"/>
      <c r="J375" s="4"/>
      <c r="K375" s="4"/>
      <c r="L375" s="4"/>
    </row>
    <row r="376" spans="1:34" ht="13.15" customHeight="1">
      <c r="D376" s="2" t="s">
        <v>994</v>
      </c>
      <c r="E376" s="2"/>
      <c r="F376" s="4"/>
      <c r="G376" s="4"/>
      <c r="H376" s="4"/>
      <c r="I376" s="4"/>
      <c r="J376" s="4"/>
      <c r="K376" s="4"/>
      <c r="L376" s="4"/>
    </row>
    <row r="377" spans="1:34" ht="13.15" customHeight="1">
      <c r="E377" s="4" t="s">
        <v>2401</v>
      </c>
      <c r="F377" s="4"/>
      <c r="G377" s="4"/>
      <c r="H377" s="4"/>
      <c r="I377" s="4"/>
      <c r="J377" s="4"/>
      <c r="K377" s="4"/>
      <c r="L377" s="4"/>
      <c r="N377" t="s">
        <v>2396</v>
      </c>
      <c r="R377" s="27" t="s">
        <v>306</v>
      </c>
      <c r="S377" s="1680"/>
      <c r="T377" s="1680"/>
      <c r="U377" s="1" t="s">
        <v>307</v>
      </c>
      <c r="V377" s="1680"/>
      <c r="W377" s="1680"/>
      <c r="Y377" t="s">
        <v>2396</v>
      </c>
      <c r="AC377" s="27" t="s">
        <v>306</v>
      </c>
      <c r="AD377" s="1680"/>
      <c r="AE377" s="1680"/>
      <c r="AF377" s="1" t="s">
        <v>307</v>
      </c>
      <c r="AG377" s="1680"/>
      <c r="AH377" s="1680"/>
    </row>
    <row r="378" spans="1:34" ht="13.15" customHeight="1">
      <c r="E378" s="4" t="s">
        <v>1011</v>
      </c>
      <c r="F378" s="4"/>
      <c r="G378" s="4"/>
      <c r="H378" s="4"/>
      <c r="I378" s="4"/>
      <c r="J378" s="4"/>
      <c r="K378" s="4"/>
      <c r="L378" s="4"/>
      <c r="N378" s="1680"/>
      <c r="O378" s="1680"/>
      <c r="P378" s="1680"/>
    </row>
    <row r="379" spans="1:34" ht="13.15" customHeight="1">
      <c r="E379" s="218" t="s">
        <v>2402</v>
      </c>
      <c r="F379" s="4"/>
      <c r="G379" s="4"/>
      <c r="H379" s="4"/>
      <c r="I379" s="4"/>
      <c r="J379" s="4"/>
      <c r="K379" s="4"/>
      <c r="L379" s="4"/>
      <c r="AG379" s="1686" t="s">
        <v>599</v>
      </c>
      <c r="AH379" s="1686"/>
    </row>
    <row r="380" spans="1:34" ht="13.15" customHeight="1">
      <c r="E380" s="4"/>
      <c r="F380" s="4"/>
      <c r="G380" s="4" t="s">
        <v>2403</v>
      </c>
      <c r="H380" s="4"/>
      <c r="I380" s="4"/>
      <c r="J380" s="4"/>
      <c r="K380" s="4"/>
      <c r="L380" s="4"/>
      <c r="AG380" s="1686" t="s">
        <v>599</v>
      </c>
      <c r="AH380" s="1686"/>
    </row>
    <row r="381" spans="1:34" ht="13.15" customHeight="1">
      <c r="E381" s="4"/>
      <c r="F381" s="4"/>
      <c r="G381" s="348" t="s">
        <v>1012</v>
      </c>
      <c r="H381" s="4"/>
      <c r="I381" s="4"/>
      <c r="J381" s="4"/>
      <c r="K381" s="4"/>
      <c r="L381" s="4"/>
      <c r="V381" s="1403" t="s">
        <v>599</v>
      </c>
      <c r="W381" s="1403"/>
      <c r="Y381" s="22" t="s">
        <v>999</v>
      </c>
    </row>
    <row r="382" spans="1:34" ht="13.15" customHeight="1">
      <c r="E382" s="4" t="s">
        <v>1000</v>
      </c>
      <c r="F382" s="4"/>
      <c r="G382" s="4"/>
      <c r="H382" s="4"/>
      <c r="I382" s="4"/>
      <c r="J382" s="4"/>
      <c r="K382" s="4"/>
      <c r="L382" s="4"/>
      <c r="V382" s="1403" t="s">
        <v>599</v>
      </c>
      <c r="W382" s="1403"/>
      <c r="Y382" s="4" t="s">
        <v>1001</v>
      </c>
    </row>
    <row r="383" spans="1:34" ht="13.15" customHeight="1"/>
    <row r="384" spans="1:34" ht="13.15" customHeight="1">
      <c r="A384" s="2" t="s">
        <v>78</v>
      </c>
      <c r="B384" s="2"/>
    </row>
    <row r="385" spans="4:36" ht="13.15" customHeight="1">
      <c r="D385" t="s">
        <v>429</v>
      </c>
      <c r="J385" s="1404" t="s">
        <v>2716</v>
      </c>
      <c r="K385" s="1404"/>
      <c r="L385" s="1404"/>
      <c r="M385" s="1404"/>
      <c r="N385" s="1404"/>
      <c r="O385" s="1404"/>
      <c r="P385" s="1404"/>
      <c r="Q385" s="1404"/>
      <c r="R385" s="1404"/>
      <c r="S385" s="1404"/>
      <c r="T385" s="1404"/>
      <c r="U385" s="1404"/>
      <c r="V385" s="8" t="s">
        <v>83</v>
      </c>
      <c r="W385" s="8"/>
      <c r="X385" s="8"/>
      <c r="Y385" s="8"/>
      <c r="Z385" s="8"/>
      <c r="AA385" s="8"/>
      <c r="AB385" s="8"/>
      <c r="AC385" s="1404" t="s">
        <v>2717</v>
      </c>
      <c r="AD385" s="1404"/>
      <c r="AE385" s="1404"/>
      <c r="AF385" s="1404"/>
      <c r="AG385" s="1404"/>
      <c r="AH385" s="1404"/>
      <c r="AI385" s="1404"/>
      <c r="AJ385" s="1404"/>
    </row>
    <row r="386" spans="4:36" ht="13.15" customHeight="1">
      <c r="D386" s="3" t="s">
        <v>1288</v>
      </c>
      <c r="J386" s="1405" t="s">
        <v>2717</v>
      </c>
      <c r="K386" s="1405"/>
      <c r="L386" s="1405"/>
      <c r="M386" s="1405"/>
      <c r="N386" s="1405"/>
      <c r="O386" s="1405"/>
      <c r="P386" s="1405"/>
      <c r="Q386" s="1405"/>
      <c r="R386" s="1405"/>
      <c r="S386" s="1405"/>
      <c r="T386" s="1405"/>
      <c r="U386" s="1405"/>
      <c r="V386" s="3" t="s">
        <v>1288</v>
      </c>
      <c r="W386" s="8"/>
      <c r="X386" s="8"/>
      <c r="Y386" s="8"/>
      <c r="Z386" s="8"/>
      <c r="AA386" s="8"/>
      <c r="AB386" s="8"/>
      <c r="AC386" s="1404" t="s">
        <v>2719</v>
      </c>
      <c r="AD386" s="1404"/>
      <c r="AE386" s="1404"/>
      <c r="AF386" s="1404"/>
      <c r="AG386" s="1404"/>
      <c r="AH386" s="1404"/>
      <c r="AI386" s="1404"/>
      <c r="AJ386" s="1404"/>
    </row>
    <row r="387" spans="4:36" ht="13.15" customHeight="1">
      <c r="D387" s="3" t="s">
        <v>443</v>
      </c>
      <c r="J387" s="1405" t="s">
        <v>2718</v>
      </c>
      <c r="K387" s="1405"/>
      <c r="L387" s="1405"/>
      <c r="M387" s="1405"/>
      <c r="N387" s="1405"/>
      <c r="O387" s="1405"/>
      <c r="P387" s="1405"/>
      <c r="Q387" s="1405"/>
      <c r="R387" s="1405"/>
      <c r="S387" s="1405"/>
      <c r="T387" s="1405"/>
      <c r="U387" s="1405"/>
      <c r="V387" s="3" t="s">
        <v>443</v>
      </c>
      <c r="W387" s="8"/>
      <c r="X387" s="8"/>
      <c r="Y387" s="8"/>
      <c r="Z387" s="8"/>
      <c r="AA387" s="8"/>
      <c r="AB387" s="8"/>
      <c r="AC387" s="1404" t="s">
        <v>2720</v>
      </c>
      <c r="AD387" s="1404"/>
      <c r="AE387" s="1404"/>
      <c r="AF387" s="1404"/>
      <c r="AG387" s="1404"/>
      <c r="AH387" s="1404"/>
      <c r="AI387" s="1404"/>
      <c r="AJ387" s="1404"/>
    </row>
    <row r="388" spans="4:36" ht="13.15" customHeight="1">
      <c r="D388" t="s">
        <v>1284</v>
      </c>
      <c r="J388" s="1851" t="s">
        <v>2721</v>
      </c>
      <c r="K388" s="1434"/>
      <c r="L388" s="1434"/>
      <c r="M388" s="1434"/>
      <c r="N388" s="1434"/>
      <c r="O388" s="1434"/>
      <c r="P388" s="1434"/>
      <c r="Q388" s="1434"/>
      <c r="R388" s="1434"/>
      <c r="S388" s="1434"/>
      <c r="T388" s="1434"/>
      <c r="U388" s="1434"/>
      <c r="V388" s="1445" t="s">
        <v>2722</v>
      </c>
      <c r="W388" s="1404"/>
      <c r="X388" s="1404"/>
      <c r="Y388" s="1404"/>
      <c r="Z388" s="1404"/>
      <c r="AA388" s="1404"/>
      <c r="AB388" s="1404"/>
      <c r="AC388" s="1404"/>
      <c r="AD388" s="1404"/>
      <c r="AE388" s="1404"/>
      <c r="AF388" s="1404"/>
      <c r="AG388" s="1404"/>
      <c r="AH388" s="1404"/>
      <c r="AI388" s="1404"/>
      <c r="AJ388" s="1404"/>
    </row>
    <row r="389" spans="4:36" ht="13.15" customHeight="1">
      <c r="D389" t="s">
        <v>4</v>
      </c>
      <c r="Q389" s="1685">
        <v>44245</v>
      </c>
      <c r="R389" s="1685"/>
      <c r="S389" s="1685"/>
      <c r="T389" s="1685"/>
      <c r="U389" s="1685"/>
      <c r="V389" t="s">
        <v>310</v>
      </c>
      <c r="AI389" s="1403" t="s">
        <v>677</v>
      </c>
      <c r="AJ389" s="1403"/>
    </row>
    <row r="390" spans="4:36" ht="13.15" customHeight="1">
      <c r="D390" t="s">
        <v>5</v>
      </c>
      <c r="Q390" s="1681">
        <v>45657</v>
      </c>
      <c r="R390" s="1682"/>
      <c r="S390" s="1682"/>
      <c r="T390" s="1682"/>
      <c r="U390" s="1682"/>
      <c r="W390" s="21" t="s">
        <v>74</v>
      </c>
      <c r="AG390" s="1678"/>
      <c r="AH390" s="1678"/>
      <c r="AI390" s="1678"/>
      <c r="AJ390" s="1678"/>
    </row>
    <row r="391" spans="4:36" ht="13.15" customHeight="1">
      <c r="D391" t="s">
        <v>428</v>
      </c>
      <c r="Q391" s="1679">
        <v>1850000</v>
      </c>
      <c r="R391" s="1679"/>
      <c r="S391" s="1679"/>
      <c r="T391" s="1679"/>
      <c r="U391" s="1679"/>
      <c r="V391" s="3" t="s">
        <v>1287</v>
      </c>
      <c r="AG391" s="1824">
        <v>45762</v>
      </c>
      <c r="AH391" s="1824"/>
      <c r="AI391" s="1824"/>
      <c r="AJ391" s="1824"/>
    </row>
    <row r="392" spans="4:36" ht="13.15" customHeight="1">
      <c r="D392" t="s">
        <v>88</v>
      </c>
      <c r="I392" s="1466" t="s">
        <v>2723</v>
      </c>
      <c r="J392" s="1466"/>
      <c r="K392" s="1466"/>
      <c r="L392" s="1466"/>
      <c r="M392" s="1466"/>
      <c r="N392" s="1466"/>
      <c r="Q392" s="4" t="s">
        <v>207</v>
      </c>
      <c r="S392" s="1684"/>
      <c r="T392" s="1684"/>
      <c r="U392" s="1684"/>
      <c r="V392" t="s">
        <v>73</v>
      </c>
      <c r="AI392" s="1403" t="s">
        <v>677</v>
      </c>
      <c r="AJ392" s="1403"/>
    </row>
    <row r="393" spans="4:36" ht="13.15" customHeight="1">
      <c r="D393" t="s">
        <v>311</v>
      </c>
      <c r="Q393" s="1437"/>
      <c r="R393" s="1437"/>
      <c r="S393" s="1437"/>
      <c r="T393" s="1437"/>
      <c r="U393" s="1437"/>
      <c r="V393" t="s">
        <v>312</v>
      </c>
      <c r="AG393" s="1678"/>
      <c r="AH393" s="1678"/>
      <c r="AI393" s="1678"/>
      <c r="AJ393" s="1678"/>
    </row>
    <row r="394" spans="4:36" ht="13.15" customHeight="1">
      <c r="D394" t="s">
        <v>313</v>
      </c>
      <c r="Q394" s="1772"/>
      <c r="R394" s="1772"/>
      <c r="S394" s="1772"/>
      <c r="T394" s="1772"/>
      <c r="U394" s="1772"/>
      <c r="V394" t="s">
        <v>1268</v>
      </c>
      <c r="AG394" s="1678"/>
      <c r="AH394" s="1678"/>
      <c r="AI394" s="1678"/>
      <c r="AJ394" s="1678"/>
    </row>
    <row r="395" spans="4:36" ht="13.15" customHeight="1">
      <c r="D395" t="s">
        <v>1267</v>
      </c>
      <c r="AG395" s="1678"/>
      <c r="AH395" s="1678"/>
      <c r="AI395" s="1678"/>
      <c r="AJ395" s="1678"/>
    </row>
    <row r="396" spans="4:36" ht="13.15" customHeight="1">
      <c r="AG396" s="490"/>
      <c r="AH396" s="490"/>
      <c r="AI396" s="490"/>
      <c r="AJ396" s="490"/>
    </row>
    <row r="397" spans="4:36" ht="13.15" customHeight="1">
      <c r="D397" s="3" t="s">
        <v>2502</v>
      </c>
      <c r="AG397" s="490"/>
      <c r="AH397" s="490"/>
      <c r="AI397" s="1403" t="s">
        <v>677</v>
      </c>
      <c r="AJ397" s="1403"/>
    </row>
    <row r="398" spans="4:36" ht="13.15" customHeight="1">
      <c r="D398" s="3" t="s">
        <v>1781</v>
      </c>
      <c r="T398" s="1779"/>
      <c r="U398" s="1779"/>
      <c r="V398" s="1779"/>
      <c r="W398" s="1779"/>
      <c r="X398" s="1779"/>
      <c r="Y398" s="1779"/>
      <c r="Z398" s="1779"/>
      <c r="AA398" s="1779"/>
      <c r="AB398" s="1779"/>
      <c r="AC398" s="1779"/>
      <c r="AD398" s="1779"/>
      <c r="AE398" s="1779"/>
      <c r="AF398" s="1779"/>
      <c r="AG398" s="1779"/>
      <c r="AH398" s="1779"/>
      <c r="AI398" s="1779"/>
      <c r="AJ398" s="1779"/>
    </row>
    <row r="399" spans="4:36" ht="13.15" customHeight="1">
      <c r="D399" s="3" t="s">
        <v>1780</v>
      </c>
      <c r="T399" s="1779"/>
      <c r="U399" s="1779"/>
      <c r="V399" s="1779"/>
      <c r="W399" s="1779"/>
      <c r="X399" s="1779"/>
      <c r="Y399" s="1779"/>
      <c r="Z399" s="1779"/>
      <c r="AA399" s="1779"/>
      <c r="AB399" s="1779"/>
      <c r="AC399" s="1779"/>
      <c r="AD399" s="1779"/>
      <c r="AE399" s="1779"/>
      <c r="AF399" s="1779"/>
      <c r="AG399" s="1779"/>
      <c r="AH399" s="1779"/>
      <c r="AI399" s="1779"/>
      <c r="AJ399" s="1779"/>
    </row>
    <row r="400" spans="4:36" ht="13.15" customHeight="1">
      <c r="AG400" s="490"/>
      <c r="AH400" s="490"/>
      <c r="AI400" s="490"/>
      <c r="AJ400" s="490"/>
    </row>
    <row r="401" spans="1:36" ht="13.15" customHeight="1">
      <c r="D401" s="3" t="s">
        <v>1774</v>
      </c>
      <c r="S401" s="1779" t="s">
        <v>677</v>
      </c>
      <c r="T401" s="1779"/>
      <c r="U401" s="1779"/>
      <c r="V401" t="s">
        <v>1775</v>
      </c>
      <c r="AG401" s="1849"/>
      <c r="AH401" s="1849"/>
      <c r="AI401" s="1849"/>
      <c r="AJ401" s="1849"/>
    </row>
    <row r="402" spans="1:36" ht="13.15" customHeight="1">
      <c r="D402" s="3" t="s">
        <v>1772</v>
      </c>
      <c r="S402" s="1779" t="s">
        <v>599</v>
      </c>
      <c r="T402" s="1779"/>
      <c r="U402" s="1779"/>
      <c r="V402" t="s">
        <v>1777</v>
      </c>
      <c r="AE402" s="1848"/>
      <c r="AF402" s="1848"/>
      <c r="AG402" s="1848"/>
      <c r="AH402" s="1848"/>
      <c r="AI402" s="1848"/>
      <c r="AJ402" s="1848"/>
    </row>
    <row r="403" spans="1:36" ht="13.15" customHeight="1">
      <c r="D403" s="3" t="s">
        <v>1773</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15" customHeight="1">
      <c r="D404" s="3" t="s">
        <v>1776</v>
      </c>
      <c r="K404" s="1811"/>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3.15" customHeight="1">
      <c r="D405" s="3" t="s">
        <v>1779</v>
      </c>
      <c r="E405" s="511"/>
      <c r="F405" s="511"/>
      <c r="G405" s="511"/>
      <c r="H405" s="511"/>
      <c r="I405" s="511"/>
      <c r="J405" s="511"/>
      <c r="K405" s="511"/>
      <c r="L405" s="511"/>
      <c r="M405" s="511"/>
      <c r="N405" s="511"/>
      <c r="O405" s="511"/>
      <c r="P405" s="511"/>
      <c r="Q405" s="511"/>
      <c r="R405" s="511"/>
      <c r="S405" s="1833" t="s">
        <v>1290</v>
      </c>
      <c r="T405" s="1833"/>
      <c r="U405" s="1833"/>
      <c r="V405" s="1833"/>
      <c r="W405" s="1833"/>
      <c r="X405" s="1833"/>
      <c r="Y405" s="1833"/>
      <c r="Z405" s="1833"/>
      <c r="AA405" s="1833"/>
      <c r="AB405" s="1833"/>
      <c r="AC405" s="1833"/>
      <c r="AD405" s="1833"/>
      <c r="AE405" s="1833"/>
      <c r="AF405" s="1833"/>
      <c r="AG405" s="1833"/>
      <c r="AH405" s="1833"/>
      <c r="AI405" s="1833"/>
      <c r="AJ405" s="1833"/>
    </row>
    <row r="406" spans="1:36" ht="13.1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1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15" customHeight="1">
      <c r="AG408" s="490"/>
      <c r="AH408" s="490"/>
      <c r="AI408" s="490"/>
      <c r="AJ408" s="490"/>
    </row>
    <row r="409" spans="1:36" ht="13.15" customHeight="1">
      <c r="A409" s="2" t="s">
        <v>597</v>
      </c>
      <c r="B409" s="2"/>
      <c r="C409" s="2" t="s">
        <v>111</v>
      </c>
    </row>
    <row r="410" spans="1:36" ht="13.15" customHeight="1">
      <c r="B410" s="2"/>
      <c r="C410" s="2"/>
      <c r="D410" s="2" t="s">
        <v>1310</v>
      </c>
      <c r="I410" s="1445" t="s">
        <v>2724</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3.15" customHeight="1">
      <c r="E411" t="s">
        <v>106</v>
      </c>
      <c r="R411" s="1403" t="s">
        <v>599</v>
      </c>
      <c r="S411" s="1403"/>
      <c r="AC411" s="27" t="s">
        <v>578</v>
      </c>
      <c r="AD411" s="1402"/>
      <c r="AE411" s="1402"/>
    </row>
    <row r="412" spans="1:36" ht="13.15" customHeight="1">
      <c r="E412" t="s">
        <v>107</v>
      </c>
      <c r="R412" s="1403" t="s">
        <v>553</v>
      </c>
      <c r="S412" s="1403"/>
      <c r="AC412" s="27" t="s">
        <v>578</v>
      </c>
      <c r="AD412" s="1402">
        <v>2</v>
      </c>
      <c r="AE412" s="1402"/>
    </row>
    <row r="413" spans="1:36" ht="13.15" customHeight="1">
      <c r="E413" t="s">
        <v>108</v>
      </c>
      <c r="S413" s="1403" t="s">
        <v>599</v>
      </c>
      <c r="T413" s="1403"/>
    </row>
    <row r="414" spans="1:36" ht="13.15" customHeight="1">
      <c r="E414" t="s">
        <v>170</v>
      </c>
      <c r="H414" s="1622" t="s">
        <v>2725</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3.15"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3.15" customHeight="1"/>
    <row r="417" spans="1:39" ht="13.15" customHeight="1">
      <c r="A417" s="2" t="s">
        <v>598</v>
      </c>
      <c r="B417" s="2"/>
      <c r="C417" s="2"/>
      <c r="D417" s="2" t="s">
        <v>114</v>
      </c>
      <c r="AF417" s="2" t="s">
        <v>976</v>
      </c>
    </row>
    <row r="418" spans="1:39" ht="13.15" customHeight="1">
      <c r="E418" s="1680"/>
      <c r="F418" s="1680"/>
      <c r="G418" s="1680"/>
      <c r="H418" s="13" t="s">
        <v>115</v>
      </c>
      <c r="I418" s="1680"/>
      <c r="J418" s="1680"/>
      <c r="K418" s="1680"/>
      <c r="L418" t="s">
        <v>116</v>
      </c>
      <c r="N418" s="27" t="s">
        <v>583</v>
      </c>
      <c r="P418" s="1683">
        <v>9.44</v>
      </c>
      <c r="Q418" s="1683"/>
      <c r="R418" s="1683"/>
      <c r="S418" t="s">
        <v>117</v>
      </c>
      <c r="W418" s="1871">
        <f>IF(E418&gt;0,(E418*I418),(P418*43560))</f>
        <v>411206.39999999997</v>
      </c>
      <c r="X418" s="1871"/>
      <c r="Y418" s="1871"/>
      <c r="Z418" t="s">
        <v>118</v>
      </c>
      <c r="AF418" s="1700">
        <f>IFERROR(IF(P418&gt;0,(AG437/P418),(AG437/(W418/43560))),0)</f>
        <v>8.898305084745763</v>
      </c>
      <c r="AG418" s="1700"/>
      <c r="AH418" s="1700"/>
      <c r="AM418" s="3"/>
    </row>
    <row r="419" spans="1:39" ht="13.15" customHeight="1">
      <c r="E419" t="s">
        <v>51</v>
      </c>
    </row>
    <row r="420" spans="1:39" ht="13.15" customHeight="1">
      <c r="E420" s="1847"/>
      <c r="F420" s="1847"/>
      <c r="G420" s="1847"/>
      <c r="H420" s="1847"/>
      <c r="I420" s="1847"/>
      <c r="J420" s="1847"/>
      <c r="K420" s="1847"/>
      <c r="L420" s="1847"/>
      <c r="M420" s="1847"/>
      <c r="N420" s="1847"/>
      <c r="O420" s="1847"/>
      <c r="P420" s="1847"/>
      <c r="Q420" s="1847"/>
      <c r="R420" s="1847"/>
      <c r="S420" s="1847"/>
      <c r="T420" s="1847"/>
      <c r="U420" s="1847"/>
      <c r="V420" s="1847"/>
      <c r="W420" s="1847"/>
      <c r="X420" s="1847"/>
      <c r="Y420" s="1847"/>
      <c r="Z420" s="1847"/>
      <c r="AA420" s="1847"/>
      <c r="AB420" s="1847"/>
      <c r="AC420" s="1847"/>
      <c r="AD420" s="1847"/>
      <c r="AE420" s="1847"/>
      <c r="AF420" s="1847"/>
      <c r="AG420" s="1847"/>
      <c r="AH420" s="1847"/>
      <c r="AI420" s="1847"/>
      <c r="AJ420" s="1847"/>
    </row>
    <row r="421" spans="1:39" ht="13.15" customHeight="1">
      <c r="E421" s="118" t="s">
        <v>1926</v>
      </c>
      <c r="F421" s="1048"/>
      <c r="G421" s="1048"/>
      <c r="H421" s="1048"/>
      <c r="I421" s="1777">
        <v>9.2070000000000007</v>
      </c>
      <c r="J421" s="1777"/>
      <c r="K421" s="1777"/>
      <c r="L421" s="1048"/>
      <c r="M421" s="118"/>
      <c r="N421" s="1048"/>
      <c r="O421" s="1048"/>
      <c r="P421" s="1645">
        <f>(CS634+CS642+CS658)/I421</f>
        <v>19.550342130987289</v>
      </c>
      <c r="Q421" s="1645"/>
      <c r="R421" s="1645"/>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600</v>
      </c>
      <c r="B423" s="2"/>
      <c r="C423" s="2"/>
      <c r="D423" s="2" t="s">
        <v>120</v>
      </c>
    </row>
    <row r="424" spans="1:39" ht="13.15" customHeight="1">
      <c r="E424" t="s">
        <v>121</v>
      </c>
      <c r="P424" s="1403">
        <v>15</v>
      </c>
      <c r="Q424" s="1403"/>
      <c r="S424" t="s">
        <v>190</v>
      </c>
      <c r="AE424" s="1403">
        <v>15</v>
      </c>
      <c r="AF424" s="1403"/>
    </row>
    <row r="425" spans="1:39" ht="13.15" customHeight="1">
      <c r="E425" t="s">
        <v>191</v>
      </c>
      <c r="P425" s="1403">
        <v>0</v>
      </c>
      <c r="Q425" s="1403"/>
      <c r="S425" t="s">
        <v>131</v>
      </c>
      <c r="AE425" s="1403" t="s">
        <v>599</v>
      </c>
      <c r="AF425" s="1403"/>
    </row>
    <row r="426" spans="1:39" ht="13.15" customHeight="1">
      <c r="F426" s="28" t="s">
        <v>132</v>
      </c>
    </row>
    <row r="427" spans="1:39" ht="13.1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1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3.15" customHeight="1">
      <c r="E429" t="s">
        <v>616</v>
      </c>
      <c r="P429" s="1"/>
      <c r="Q429" s="1403" t="s">
        <v>553</v>
      </c>
      <c r="R429" s="1403"/>
    </row>
    <row r="430" spans="1:39" ht="13.15" customHeight="1">
      <c r="F430" t="s">
        <v>617</v>
      </c>
      <c r="P430" s="1"/>
      <c r="Q430" s="1"/>
      <c r="AF430" s="1403" t="s">
        <v>599</v>
      </c>
      <c r="AG430" s="1864"/>
    </row>
    <row r="431" spans="1:39" ht="13.15" customHeight="1"/>
    <row r="432" spans="1:39" ht="13.15" customHeight="1">
      <c r="A432" s="2"/>
      <c r="B432" s="2"/>
      <c r="C432" s="2"/>
      <c r="E432" s="4" t="s">
        <v>309</v>
      </c>
      <c r="Z432" s="1403" t="s">
        <v>553</v>
      </c>
      <c r="AA432" s="1403"/>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716</v>
      </c>
      <c r="G434" s="40"/>
      <c r="I434" s="40"/>
      <c r="J434" s="40"/>
      <c r="K434" s="40"/>
      <c r="L434" s="40"/>
      <c r="M434" s="40"/>
      <c r="N434" s="40"/>
      <c r="O434" s="28"/>
      <c r="P434" s="40"/>
      <c r="Q434" s="40"/>
      <c r="R434" s="40"/>
      <c r="S434" s="40"/>
      <c r="T434" s="40"/>
      <c r="U434" s="40"/>
      <c r="V434" s="40"/>
      <c r="W434" s="40"/>
      <c r="Z434" s="1403" t="s">
        <v>677</v>
      </c>
      <c r="AA434" s="1403"/>
    </row>
    <row r="435" spans="1:110" ht="13.15" customHeight="1"/>
    <row r="436" spans="1:110" ht="13.15" customHeight="1">
      <c r="A436" s="2" t="s">
        <v>475</v>
      </c>
      <c r="B436" s="2"/>
      <c r="C436" s="2"/>
      <c r="D436" s="2" t="s">
        <v>773</v>
      </c>
      <c r="AF436" s="48"/>
    </row>
    <row r="437" spans="1:110" ht="13.1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50"/>
      <c r="AG437" s="1838">
        <v>84</v>
      </c>
      <c r="AH437" s="1838"/>
      <c r="AI437" s="1838"/>
      <c r="AJ437" s="1838"/>
    </row>
    <row r="438" spans="1:110" ht="13.15" customHeight="1">
      <c r="D438" s="1690" t="s">
        <v>1329</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6">
        <v>0</v>
      </c>
      <c r="AH438" s="1363"/>
      <c r="AI438" s="1363"/>
      <c r="AJ438" s="1363"/>
    </row>
    <row r="439" spans="1:110" ht="13.15" customHeight="1">
      <c r="D439" s="1690" t="s">
        <v>1055</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8">
        <v>83</v>
      </c>
      <c r="AH439" s="1838"/>
      <c r="AI439" s="1838"/>
      <c r="AJ439" s="1838"/>
    </row>
    <row r="440" spans="1:110" ht="13.15" customHeight="1">
      <c r="D440" s="1690" t="s">
        <v>1056</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8">
        <v>83</v>
      </c>
      <c r="AH440" s="1838"/>
      <c r="AI440" s="1838"/>
      <c r="AJ440" s="1838"/>
    </row>
    <row r="441" spans="1:110" ht="13.15" customHeight="1">
      <c r="D441" s="1690" t="s">
        <v>1058</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5">
        <f>IF(ISERROR(AG440/AG439),"",AG440/AG439)</f>
        <v>1</v>
      </c>
      <c r="AH441" s="1845"/>
      <c r="AI441" s="1845"/>
      <c r="AJ441" s="1845"/>
    </row>
    <row r="442" spans="1:110" ht="13.15" customHeight="1">
      <c r="D442" s="1690" t="s">
        <v>1057</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04">
        <f>86886-890</f>
        <v>85996</v>
      </c>
      <c r="AH442" s="1704"/>
      <c r="AI442" s="1704"/>
      <c r="AJ442" s="1704"/>
    </row>
    <row r="443" spans="1:110" ht="13.15" customHeight="1">
      <c r="D443" s="1690" t="s">
        <v>1059</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4">
        <f>AG442</f>
        <v>85996</v>
      </c>
      <c r="AH443" s="1704"/>
      <c r="AI443" s="1704"/>
      <c r="AJ443" s="1704"/>
    </row>
    <row r="444" spans="1:110" ht="13.15" customHeight="1">
      <c r="D444" s="1690" t="s">
        <v>1060</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5">
        <f>IF(ISERROR(AG443/AG442),"",AG443/AG442)</f>
        <v>1</v>
      </c>
      <c r="AH444" s="1845"/>
      <c r="AI444" s="1845"/>
      <c r="AJ444" s="1845"/>
    </row>
    <row r="445" spans="1:110" ht="13.15" customHeight="1">
      <c r="D445" s="1690" t="s">
        <v>1061</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5">
        <f>MIN(IF(AG441&gt;AG444,AG444,AG441),1)</f>
        <v>1</v>
      </c>
      <c r="AH445" s="1845"/>
      <c r="AI445" s="1845"/>
      <c r="AJ445" s="1845"/>
    </row>
    <row r="446" spans="1:110" ht="13.15" customHeight="1">
      <c r="D446" s="1690" t="s">
        <v>2404</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50"/>
      <c r="AG446" s="1704">
        <f>1375+4058</f>
        <v>5433</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50"/>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90" t="s">
        <v>1311</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50"/>
      <c r="AG448" s="1704">
        <f>2189+890</f>
        <v>3079</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690" t="s">
        <v>1062</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50"/>
      <c r="AG449" s="1704">
        <v>0</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819" t="s">
        <v>1063</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5">
        <f>AG442+AG446+AG448+AG449</f>
        <v>94508</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822" t="s">
        <v>1312</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3">
        <f>IF(AG437=0,"",'Sources and Uses Budget'!B105/Application!AG437)</f>
        <v>733491.94047619053</v>
      </c>
      <c r="AD454" s="1773"/>
      <c r="AE454" s="1773"/>
      <c r="AF454" s="177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3">
        <f>IF(AG437=0,"",'Sources and Uses Budget'!C105/Application!AG437)</f>
        <v>733491.94047619053</v>
      </c>
      <c r="AD455" s="1773"/>
      <c r="AE455" s="1773"/>
      <c r="AF455" s="177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3">
        <f>IF(AG437=0,"",('Sources and Uses Budget'!$S$107+'Sources and Uses Budget'!$T$107)/Application!AG437)</f>
        <v>670479.69047619053</v>
      </c>
      <c r="AD456" s="1773"/>
      <c r="AE456" s="1773"/>
      <c r="AF456" s="177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837" t="s">
        <v>2418</v>
      </c>
      <c r="E465" s="1775"/>
      <c r="F465" s="1775"/>
      <c r="G465" s="1775"/>
      <c r="H465" s="1775"/>
      <c r="I465" s="1775"/>
      <c r="J465" s="1775"/>
      <c r="K465" s="1775"/>
      <c r="L465" s="1775"/>
      <c r="M465" s="1775"/>
      <c r="N465" s="1775"/>
      <c r="O465" s="1775"/>
      <c r="P465" s="1775"/>
      <c r="Q465" s="1775"/>
      <c r="R465" s="1775"/>
      <c r="S465" s="1775"/>
      <c r="T465" s="1775"/>
      <c r="U465" s="1775"/>
      <c r="V465" s="1776"/>
      <c r="W465" s="1693">
        <v>50</v>
      </c>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74" t="s">
        <v>702</v>
      </c>
      <c r="E466" s="1775"/>
      <c r="F466" s="1775"/>
      <c r="G466" s="1775"/>
      <c r="H466" s="1775"/>
      <c r="I466" s="1775"/>
      <c r="J466" s="1775"/>
      <c r="K466" s="1775"/>
      <c r="L466" s="1775"/>
      <c r="M466" s="1775"/>
      <c r="N466" s="1775"/>
      <c r="O466" s="1775"/>
      <c r="P466" s="1775"/>
      <c r="Q466" s="1775"/>
      <c r="R466" s="1775"/>
      <c r="S466" s="1775"/>
      <c r="T466" s="1775"/>
      <c r="U466" s="1775"/>
      <c r="V466" s="1776"/>
      <c r="W466" s="1693">
        <v>0</v>
      </c>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74" t="s">
        <v>703</v>
      </c>
      <c r="E467" s="1775"/>
      <c r="F467" s="1775"/>
      <c r="G467" s="1775"/>
      <c r="H467" s="1775"/>
      <c r="I467" s="1775"/>
      <c r="J467" s="1775"/>
      <c r="K467" s="1775"/>
      <c r="L467" s="1775"/>
      <c r="M467" s="1775"/>
      <c r="N467" s="1775"/>
      <c r="O467" s="1775"/>
      <c r="P467" s="1775"/>
      <c r="Q467" s="1775"/>
      <c r="R467" s="1775"/>
      <c r="S467" s="1775"/>
      <c r="T467" s="1775"/>
      <c r="U467" s="1775"/>
      <c r="V467" s="1776"/>
      <c r="W467" s="1693">
        <v>0</v>
      </c>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74" t="s">
        <v>704</v>
      </c>
      <c r="E468" s="1775"/>
      <c r="F468" s="1775"/>
      <c r="G468" s="1775"/>
      <c r="H468" s="1775"/>
      <c r="I468" s="1775"/>
      <c r="J468" s="1775"/>
      <c r="K468" s="1775"/>
      <c r="L468" s="1775"/>
      <c r="M468" s="1775"/>
      <c r="N468" s="1775"/>
      <c r="O468" s="1775"/>
      <c r="P468" s="1775"/>
      <c r="Q468" s="1775"/>
      <c r="R468" s="1775"/>
      <c r="S468" s="1775"/>
      <c r="T468" s="1775"/>
      <c r="U468" s="1775"/>
      <c r="V468" s="1776"/>
      <c r="W468" s="1693">
        <v>0</v>
      </c>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74" t="s">
        <v>893</v>
      </c>
      <c r="E469" s="1775"/>
      <c r="F469" s="1775"/>
      <c r="G469" s="1775"/>
      <c r="H469" s="1775"/>
      <c r="I469" s="1775"/>
      <c r="J469" s="1775"/>
      <c r="K469" s="1775"/>
      <c r="L469" s="1775"/>
      <c r="M469" s="1775"/>
      <c r="N469" s="1775"/>
      <c r="O469" s="1775"/>
      <c r="P469" s="1775"/>
      <c r="Q469" s="1775"/>
      <c r="R469" s="1775"/>
      <c r="S469" s="1775"/>
      <c r="T469" s="1775"/>
      <c r="U469" s="1775"/>
      <c r="V469" s="1776"/>
      <c r="W469" s="1693">
        <v>0</v>
      </c>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74" t="s">
        <v>705</v>
      </c>
      <c r="E470" s="1775"/>
      <c r="F470" s="1775"/>
      <c r="G470" s="1775"/>
      <c r="H470" s="1775"/>
      <c r="I470" s="1775"/>
      <c r="J470" s="1775"/>
      <c r="K470" s="1775"/>
      <c r="L470" s="1775"/>
      <c r="M470" s="1775"/>
      <c r="N470" s="1775"/>
      <c r="O470" s="1775"/>
      <c r="P470" s="1775"/>
      <c r="Q470" s="1775"/>
      <c r="R470" s="1775"/>
      <c r="S470" s="1775"/>
      <c r="T470" s="1775"/>
      <c r="U470" s="1775"/>
      <c r="V470" s="1776"/>
      <c r="W470" s="1693">
        <v>0</v>
      </c>
      <c r="X470" s="1694"/>
      <c r="Y470" s="169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74" t="s">
        <v>1036</v>
      </c>
      <c r="E471" s="1775"/>
      <c r="F471" s="1775"/>
      <c r="G471" s="1775"/>
      <c r="H471" s="1775"/>
      <c r="I471" s="1775"/>
      <c r="J471" s="1775"/>
      <c r="K471" s="1775"/>
      <c r="L471" s="1775"/>
      <c r="M471" s="1775"/>
      <c r="N471" s="1775"/>
      <c r="O471" s="1775"/>
      <c r="P471" s="1775"/>
      <c r="Q471" s="1775"/>
      <c r="R471" s="1775"/>
      <c r="S471" s="1775"/>
      <c r="T471" s="1775"/>
      <c r="U471" s="1775"/>
      <c r="V471" s="1776"/>
      <c r="W471" s="1693">
        <v>0</v>
      </c>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837" t="s">
        <v>2555</v>
      </c>
      <c r="E472" s="1869"/>
      <c r="F472" s="1869"/>
      <c r="G472" s="1869"/>
      <c r="H472" s="1869"/>
      <c r="I472" s="1869"/>
      <c r="J472" s="1869"/>
      <c r="K472" s="1869"/>
      <c r="L472" s="1869"/>
      <c r="M472" s="1869"/>
      <c r="N472" s="1869"/>
      <c r="O472" s="1869"/>
      <c r="P472" s="1869"/>
      <c r="Q472" s="1869"/>
      <c r="R472" s="1869"/>
      <c r="S472" s="1869"/>
      <c r="T472" s="1869"/>
      <c r="U472" s="1869"/>
      <c r="V472" s="1870"/>
      <c r="W472" s="1693">
        <v>0</v>
      </c>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837" t="s">
        <v>1767</v>
      </c>
      <c r="E473" s="1775"/>
      <c r="F473" s="1775"/>
      <c r="G473" s="1775"/>
      <c r="H473" s="1775"/>
      <c r="I473" s="1775"/>
      <c r="J473" s="1775"/>
      <c r="K473" s="1775"/>
      <c r="L473" s="1775"/>
      <c r="M473" s="1775"/>
      <c r="N473" s="1775"/>
      <c r="O473" s="1775"/>
      <c r="P473" s="1775"/>
      <c r="Q473" s="1775"/>
      <c r="R473" s="1775"/>
      <c r="S473" s="1775"/>
      <c r="T473" s="1775"/>
      <c r="U473" s="1775"/>
      <c r="V473" s="1776"/>
      <c r="W473" s="1693">
        <v>19</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30"/>
      <c r="H474" s="1831"/>
      <c r="I474" s="1831"/>
      <c r="J474" s="1831"/>
      <c r="K474" s="1831"/>
      <c r="L474" s="1831"/>
      <c r="M474" s="1831"/>
      <c r="N474" s="1831"/>
      <c r="O474" s="1831"/>
      <c r="P474" s="1831"/>
      <c r="Q474" s="1831"/>
      <c r="R474" s="1831"/>
      <c r="S474" s="1831"/>
      <c r="T474" s="1831"/>
      <c r="U474" s="1831"/>
      <c r="V474" s="1832"/>
      <c r="W474" s="1693">
        <v>0</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64" t="s">
        <v>819</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550" t="s">
        <v>2726</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550" t="s">
        <v>2727</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550" t="s">
        <v>2728</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54" t="s">
        <v>398</v>
      </c>
      <c r="C489" s="1855"/>
      <c r="D489" s="1855"/>
      <c r="E489" s="1855"/>
      <c r="F489" s="1855"/>
      <c r="G489" s="1855"/>
      <c r="H489" s="1855"/>
      <c r="I489" s="1855"/>
      <c r="J489" s="1855"/>
      <c r="K489" s="1855"/>
      <c r="L489" s="1855"/>
      <c r="M489" s="1855"/>
      <c r="N489" s="1855"/>
      <c r="O489" s="1855"/>
      <c r="P489" s="1856"/>
      <c r="Q489" s="1860" t="s">
        <v>677</v>
      </c>
      <c r="R489" s="1861"/>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57"/>
      <c r="C490" s="1858"/>
      <c r="D490" s="1858"/>
      <c r="E490" s="1858"/>
      <c r="F490" s="1858"/>
      <c r="G490" s="1858"/>
      <c r="H490" s="1858"/>
      <c r="I490" s="1858"/>
      <c r="J490" s="1858"/>
      <c r="K490" s="1858"/>
      <c r="L490" s="1858"/>
      <c r="M490" s="1858"/>
      <c r="N490" s="1858"/>
      <c r="O490" s="1858"/>
      <c r="P490" s="1859"/>
      <c r="Q490" s="1862"/>
      <c r="R490" s="1863"/>
      <c r="S490" s="1828"/>
      <c r="T490" s="1802"/>
      <c r="U490" s="1802"/>
      <c r="V490" s="1802"/>
      <c r="W490" s="1802"/>
      <c r="X490" s="1802"/>
      <c r="Y490" s="1802"/>
      <c r="Z490" s="1802"/>
      <c r="AA490" s="1802"/>
      <c r="AB490" s="1802"/>
      <c r="AC490" s="1802"/>
      <c r="AD490" s="1802"/>
      <c r="AE490" s="1802"/>
      <c r="AF490" s="1802"/>
      <c r="AG490" s="1802"/>
      <c r="AH490" s="1802"/>
      <c r="AI490" s="1802"/>
      <c r="AJ490" s="1802"/>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1785</v>
      </c>
      <c r="C491" s="907"/>
      <c r="D491" s="907"/>
      <c r="E491" s="907"/>
      <c r="F491" s="907"/>
      <c r="G491" s="907"/>
      <c r="H491" s="907"/>
      <c r="I491" s="907"/>
      <c r="J491" s="907"/>
      <c r="K491" s="907"/>
      <c r="L491" s="907"/>
      <c r="M491" s="907"/>
      <c r="N491" s="907"/>
      <c r="O491" s="907"/>
      <c r="P491" s="907"/>
      <c r="Q491" s="1866" t="s">
        <v>677</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698" t="s">
        <v>2729</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550" t="s">
        <v>2730</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1782</v>
      </c>
      <c r="C494" s="5"/>
      <c r="D494" s="5"/>
      <c r="E494" s="5"/>
      <c r="F494" s="5"/>
      <c r="G494" s="5"/>
      <c r="H494" s="5"/>
      <c r="I494" s="5"/>
      <c r="J494" s="5"/>
      <c r="K494" s="5"/>
      <c r="L494" s="5"/>
      <c r="M494" s="5"/>
      <c r="N494" s="5"/>
      <c r="O494" s="5"/>
      <c r="P494" s="5"/>
      <c r="Q494" s="1698">
        <f>166+5</f>
        <v>171</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1783</v>
      </c>
      <c r="C495" s="5"/>
      <c r="D495" s="5"/>
      <c r="E495" s="5"/>
      <c r="F495" s="5"/>
      <c r="G495" s="5"/>
      <c r="H495" s="5"/>
      <c r="I495" s="5"/>
      <c r="J495" s="5"/>
      <c r="K495" s="5"/>
      <c r="L495" s="5"/>
      <c r="M495" s="1450">
        <v>166</v>
      </c>
      <c r="N495" s="1451"/>
      <c r="O495" s="1451"/>
      <c r="P495" s="1452"/>
      <c r="Q495" s="121" t="s">
        <v>1784</v>
      </c>
      <c r="R495" s="5"/>
      <c r="S495" s="5"/>
      <c r="T495" s="5"/>
      <c r="U495" s="5"/>
      <c r="V495" s="5"/>
      <c r="W495" s="5"/>
      <c r="X495" s="5"/>
      <c r="Y495" s="5"/>
      <c r="Z495" s="5"/>
      <c r="AA495" s="5"/>
      <c r="AB495" s="5"/>
      <c r="AC495" s="5"/>
      <c r="AD495" s="5"/>
      <c r="AE495" s="5"/>
      <c r="AF495" s="5"/>
      <c r="AG495" s="5"/>
      <c r="AH495" s="1450">
        <v>5</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631"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30">
        <v>11</v>
      </c>
      <c r="AD501" s="1402"/>
      <c r="AE501" s="1402"/>
      <c r="AF501" s="1402"/>
      <c r="AG501" s="13" t="s">
        <v>404</v>
      </c>
      <c r="AH501" s="1434">
        <v>2021</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632"/>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30">
        <v>4</v>
      </c>
      <c r="AD502" s="1402"/>
      <c r="AE502" s="1402"/>
      <c r="AF502" s="1402"/>
      <c r="AG502" s="38" t="s">
        <v>404</v>
      </c>
      <c r="AH502" s="1434">
        <v>2025</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631"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30" t="s">
        <v>599</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632"/>
      <c r="C504" s="1499"/>
      <c r="D504" s="1499"/>
      <c r="E504" s="1499"/>
      <c r="F504" s="1499"/>
      <c r="G504" s="1499"/>
      <c r="H504" s="1500"/>
      <c r="I504" t="s">
        <v>411</v>
      </c>
      <c r="AC504" s="1630" t="s">
        <v>599</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632"/>
      <c r="C505" s="1499"/>
      <c r="D505" s="1499"/>
      <c r="E505" s="1499"/>
      <c r="F505" s="1499"/>
      <c r="G505" s="1499"/>
      <c r="H505" s="1500"/>
      <c r="I505" t="s">
        <v>412</v>
      </c>
      <c r="AC505" s="1630" t="s">
        <v>599</v>
      </c>
      <c r="AD505" s="1402"/>
      <c r="AE505" s="1402"/>
      <c r="AF505" s="1402"/>
      <c r="AG505" s="13" t="s">
        <v>404</v>
      </c>
      <c r="AH505" s="1434"/>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632"/>
      <c r="C506" s="1499"/>
      <c r="D506" s="1499"/>
      <c r="E506" s="1499"/>
      <c r="F506" s="1499"/>
      <c r="G506" s="1499"/>
      <c r="H506" s="1500"/>
      <c r="I506" t="s">
        <v>413</v>
      </c>
      <c r="AC506" s="1630">
        <v>3</v>
      </c>
      <c r="AD506" s="1402"/>
      <c r="AE506" s="1402"/>
      <c r="AF506" s="1402"/>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632"/>
      <c r="C507" s="1499"/>
      <c r="D507" s="1499"/>
      <c r="E507" s="1499"/>
      <c r="F507" s="1499"/>
      <c r="G507" s="1499"/>
      <c r="H507" s="1500"/>
      <c r="I507" s="3" t="s">
        <v>414</v>
      </c>
      <c r="AC507" s="1391">
        <v>3</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15" customHeight="1">
      <c r="B508" s="1632"/>
      <c r="C508" s="1499"/>
      <c r="D508" s="1499"/>
      <c r="E508" s="1499"/>
      <c r="F508" s="1499"/>
      <c r="G508" s="1499"/>
      <c r="H508" s="1500"/>
      <c r="I508" s="931" t="s">
        <v>170</v>
      </c>
      <c r="J508" s="48"/>
      <c r="K508" s="48"/>
      <c r="L508" s="1778" t="s">
        <v>335</v>
      </c>
      <c r="M508" s="1779"/>
      <c r="N508" s="1779"/>
      <c r="O508" s="1779"/>
      <c r="P508" s="1779"/>
      <c r="Q508" s="1779"/>
      <c r="R508" s="1779"/>
      <c r="S508" s="1779"/>
      <c r="T508" s="1779"/>
      <c r="U508" s="1779"/>
      <c r="V508" s="1779"/>
      <c r="W508" s="1779"/>
      <c r="X508" s="1779"/>
      <c r="Y508" s="1779"/>
      <c r="Z508" s="1779"/>
      <c r="AA508" s="1779"/>
      <c r="AB508" s="1834"/>
      <c r="AC508" s="1630" t="s">
        <v>599</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1789</v>
      </c>
      <c r="AC509" s="1838" t="s">
        <v>553</v>
      </c>
      <c r="AD509" s="1838"/>
      <c r="AE509" s="1838"/>
      <c r="AF509" s="1838"/>
      <c r="AG509" s="13"/>
      <c r="AH509" s="1303"/>
      <c r="AI509" s="1303"/>
      <c r="AJ509" s="1303"/>
      <c r="AK509" s="18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1786</v>
      </c>
      <c r="AC510" s="1391">
        <v>2</v>
      </c>
      <c r="AD510" s="1392"/>
      <c r="AE510" s="1392"/>
      <c r="AF510" s="1393"/>
      <c r="AG510" s="13"/>
      <c r="AH510" s="1303"/>
      <c r="AI510" s="1303"/>
      <c r="AJ510" s="1303"/>
      <c r="AK510" s="18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0">
        <v>0.9</v>
      </c>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6" t="s">
        <v>403</v>
      </c>
      <c r="AD513" s="1719"/>
      <c r="AE513" s="1719"/>
      <c r="AF513" s="1719"/>
      <c r="AG513" s="38" t="s">
        <v>404</v>
      </c>
      <c r="AH513" s="1719" t="s">
        <v>405</v>
      </c>
      <c r="AI513" s="1719"/>
      <c r="AJ513" s="1719"/>
      <c r="AK513" s="1839"/>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15" customHeight="1">
      <c r="B514" s="1631"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30">
        <v>4</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15" customHeight="1">
      <c r="B515" s="1632"/>
      <c r="C515" s="1499"/>
      <c r="D515" s="1499"/>
      <c r="E515" s="1499"/>
      <c r="F515" s="1499"/>
      <c r="G515" s="1499"/>
      <c r="H515" s="1500"/>
      <c r="I515" t="s">
        <v>417</v>
      </c>
      <c r="AC515" s="1630">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15" customHeight="1">
      <c r="B516" s="1632"/>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30">
        <v>4</v>
      </c>
      <c r="AD516" s="1402"/>
      <c r="AE516" s="1402"/>
      <c r="AF516" s="1402"/>
      <c r="AG516" s="38" t="s">
        <v>404</v>
      </c>
      <c r="AH516" s="1434">
        <v>2024</v>
      </c>
      <c r="AI516" s="1434"/>
      <c r="AJ516" s="1434"/>
      <c r="AK516" s="143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15" customHeight="1">
      <c r="B517" s="1631"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15" customHeight="1">
      <c r="B518" s="1632"/>
      <c r="C518" s="1499"/>
      <c r="D518" s="1499"/>
      <c r="E518" s="1499"/>
      <c r="F518" s="1499"/>
      <c r="G518" s="1499"/>
      <c r="H518" s="1500"/>
      <c r="I518" t="s">
        <v>417</v>
      </c>
      <c r="AC518" s="1630">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15" customHeight="1">
      <c r="B519" s="1633"/>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30">
        <v>4</v>
      </c>
      <c r="AD519" s="1402"/>
      <c r="AE519" s="1402"/>
      <c r="AF519" s="1402"/>
      <c r="AG519" s="38" t="s">
        <v>404</v>
      </c>
      <c r="AH519" s="1434">
        <v>2024</v>
      </c>
      <c r="AI519" s="1434"/>
      <c r="AJ519" s="1434"/>
      <c r="AK519" s="143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15" customHeight="1">
      <c r="B520" s="1631" t="s">
        <v>420</v>
      </c>
      <c r="C520" s="1497"/>
      <c r="D520" s="1497"/>
      <c r="E520" s="1497"/>
      <c r="F520" s="1497"/>
      <c r="G520" s="1497"/>
      <c r="H520" s="1498"/>
      <c r="I520" s="41" t="s">
        <v>421</v>
      </c>
      <c r="J520" s="42"/>
      <c r="K520" s="42"/>
      <c r="L520" s="42"/>
      <c r="M520" s="42"/>
      <c r="N520" s="42"/>
      <c r="O520" s="1778" t="s">
        <v>2731</v>
      </c>
      <c r="P520" s="1779"/>
      <c r="Q520" s="1779"/>
      <c r="R520" s="1779"/>
      <c r="S520" s="1779"/>
      <c r="T520" s="1779"/>
      <c r="U520" s="1779"/>
      <c r="V520" s="1779"/>
      <c r="W520" s="1779"/>
      <c r="X520" s="1779"/>
      <c r="Y520" s="1779"/>
      <c r="Z520" s="1779"/>
      <c r="AA520" s="1779"/>
      <c r="AB520" s="58"/>
      <c r="AC520" s="1391" t="s">
        <v>599</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15" customHeight="1">
      <c r="B521" s="1632"/>
      <c r="C521" s="1499"/>
      <c r="D521" s="1499"/>
      <c r="E521" s="1499"/>
      <c r="F521" s="1499"/>
      <c r="G521" s="1499"/>
      <c r="H521" s="1500"/>
      <c r="I521" s="114" t="s">
        <v>422</v>
      </c>
      <c r="AB521" s="65"/>
      <c r="AC521" s="1630">
        <v>1</v>
      </c>
      <c r="AD521" s="1402"/>
      <c r="AE521" s="1402"/>
      <c r="AF521" s="1402"/>
      <c r="AG521" s="13" t="s">
        <v>404</v>
      </c>
      <c r="AH521" s="1434">
        <v>2022</v>
      </c>
      <c r="AI521" s="1434"/>
      <c r="AJ521" s="1434"/>
      <c r="AK521" s="143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15" customHeight="1">
      <c r="B522" s="1632"/>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30">
        <v>6</v>
      </c>
      <c r="AD522" s="1402"/>
      <c r="AE522" s="1402"/>
      <c r="AF522" s="1402"/>
      <c r="AG522" s="38" t="s">
        <v>404</v>
      </c>
      <c r="AH522" s="1434">
        <v>2022</v>
      </c>
      <c r="AI522" s="1434"/>
      <c r="AJ522" s="1434"/>
      <c r="AK522" s="143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15" customHeight="1">
      <c r="B523" s="1632"/>
      <c r="C523" s="1499"/>
      <c r="D523" s="1499"/>
      <c r="E523" s="1499"/>
      <c r="F523" s="1499"/>
      <c r="G523" s="1499"/>
      <c r="H523" s="1500"/>
      <c r="I523" s="42" t="s">
        <v>424</v>
      </c>
      <c r="J523" s="42"/>
      <c r="K523" s="42"/>
      <c r="L523" s="42"/>
      <c r="M523" s="42"/>
      <c r="N523" s="42"/>
      <c r="O523" s="1778" t="s">
        <v>2732</v>
      </c>
      <c r="P523" s="1779"/>
      <c r="Q523" s="1779"/>
      <c r="R523" s="1779"/>
      <c r="S523" s="1779"/>
      <c r="T523" s="1779"/>
      <c r="U523" s="1779"/>
      <c r="V523" s="1779"/>
      <c r="W523" s="1779"/>
      <c r="X523" s="1779"/>
      <c r="Y523" s="1779"/>
      <c r="Z523" s="1779"/>
      <c r="AA523" s="1779"/>
      <c r="AC523" s="1630" t="s">
        <v>599</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15" customHeight="1">
      <c r="B524" s="1632"/>
      <c r="C524" s="1499"/>
      <c r="D524" s="1499"/>
      <c r="E524" s="1499"/>
      <c r="F524" s="1499"/>
      <c r="G524" s="1499"/>
      <c r="H524" s="1500"/>
      <c r="I524" t="s">
        <v>422</v>
      </c>
      <c r="AC524" s="1630">
        <v>9</v>
      </c>
      <c r="AD524" s="1402"/>
      <c r="AE524" s="1402"/>
      <c r="AF524" s="1402"/>
      <c r="AG524" s="13" t="s">
        <v>404</v>
      </c>
      <c r="AH524" s="1434">
        <v>2021</v>
      </c>
      <c r="AI524" s="1434"/>
      <c r="AJ524" s="1434"/>
      <c r="AK524" s="143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15" customHeight="1">
      <c r="B525" s="1632"/>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30">
        <v>10</v>
      </c>
      <c r="AD525" s="1402"/>
      <c r="AE525" s="1402"/>
      <c r="AF525" s="1402"/>
      <c r="AG525" s="38" t="s">
        <v>404</v>
      </c>
      <c r="AH525" s="1434">
        <v>2021</v>
      </c>
      <c r="AI525" s="1434"/>
      <c r="AJ525" s="1434"/>
      <c r="AK525" s="143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632"/>
      <c r="C526" s="1499"/>
      <c r="D526" s="1499"/>
      <c r="E526" s="1499"/>
      <c r="F526" s="1499"/>
      <c r="G526" s="1499"/>
      <c r="H526" s="1500"/>
      <c r="I526" s="42" t="s">
        <v>424</v>
      </c>
      <c r="J526" s="42"/>
      <c r="K526" s="42"/>
      <c r="L526" s="42"/>
      <c r="M526" s="42"/>
      <c r="N526" s="42"/>
      <c r="O526" s="1778" t="s">
        <v>2733</v>
      </c>
      <c r="P526" s="1779"/>
      <c r="Q526" s="1779"/>
      <c r="R526" s="1779"/>
      <c r="S526" s="1779"/>
      <c r="T526" s="1779"/>
      <c r="U526" s="1779"/>
      <c r="V526" s="1779"/>
      <c r="W526" s="1779"/>
      <c r="X526" s="1779"/>
      <c r="Y526" s="1779"/>
      <c r="Z526" s="1779"/>
      <c r="AA526" s="1779"/>
      <c r="AC526" s="1630" t="s">
        <v>599</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632"/>
      <c r="C527" s="1499"/>
      <c r="D527" s="1499"/>
      <c r="E527" s="1499"/>
      <c r="F527" s="1499"/>
      <c r="G527" s="1499"/>
      <c r="H527" s="1500"/>
      <c r="I527" t="s">
        <v>422</v>
      </c>
      <c r="AC527" s="1630">
        <v>5</v>
      </c>
      <c r="AD527" s="1402"/>
      <c r="AE527" s="1402"/>
      <c r="AF527" s="1402"/>
      <c r="AG527" s="13" t="s">
        <v>404</v>
      </c>
      <c r="AH527" s="1434">
        <v>2021</v>
      </c>
      <c r="AI527" s="1434"/>
      <c r="AJ527" s="1434"/>
      <c r="AK527" s="143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632"/>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30">
        <v>5</v>
      </c>
      <c r="AD528" s="1402"/>
      <c r="AE528" s="1402"/>
      <c r="AF528" s="1402"/>
      <c r="AG528" s="38" t="s">
        <v>404</v>
      </c>
      <c r="AH528" s="1434">
        <v>2021</v>
      </c>
      <c r="AI528" s="1434"/>
      <c r="AJ528" s="1434"/>
      <c r="AK528" s="143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632"/>
      <c r="C529" s="1499"/>
      <c r="D529" s="1499"/>
      <c r="E529" s="1499"/>
      <c r="F529" s="1499"/>
      <c r="G529" s="1499"/>
      <c r="H529" s="1500"/>
      <c r="I529" s="42" t="s">
        <v>424</v>
      </c>
      <c r="J529" s="42"/>
      <c r="K529" s="42"/>
      <c r="L529" s="42"/>
      <c r="M529" s="42"/>
      <c r="N529" s="42"/>
      <c r="O529" s="1778" t="s">
        <v>2734</v>
      </c>
      <c r="P529" s="1779"/>
      <c r="Q529" s="1779"/>
      <c r="R529" s="1779"/>
      <c r="S529" s="1779"/>
      <c r="T529" s="1779"/>
      <c r="U529" s="1779"/>
      <c r="V529" s="1779"/>
      <c r="W529" s="1779"/>
      <c r="X529" s="1779"/>
      <c r="Y529" s="1779"/>
      <c r="Z529" s="1779"/>
      <c r="AA529" s="1779"/>
      <c r="AC529" s="1630" t="s">
        <v>599</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632"/>
      <c r="C530" s="1499"/>
      <c r="D530" s="1499"/>
      <c r="E530" s="1499"/>
      <c r="F530" s="1499"/>
      <c r="G530" s="1499"/>
      <c r="H530" s="1500"/>
      <c r="I530" t="s">
        <v>422</v>
      </c>
      <c r="AC530" s="1630">
        <v>2</v>
      </c>
      <c r="AD530" s="1402"/>
      <c r="AE530" s="1402"/>
      <c r="AF530" s="1402"/>
      <c r="AG530" s="13" t="s">
        <v>404</v>
      </c>
      <c r="AH530" s="1434">
        <v>2021</v>
      </c>
      <c r="AI530" s="1434"/>
      <c r="AJ530" s="1434"/>
      <c r="AK530" s="143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632"/>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30">
        <v>4</v>
      </c>
      <c r="AD531" s="1402"/>
      <c r="AE531" s="1402"/>
      <c r="AF531" s="1402"/>
      <c r="AG531" s="38" t="s">
        <v>404</v>
      </c>
      <c r="AH531" s="1434">
        <v>2021</v>
      </c>
      <c r="AI531" s="1434"/>
      <c r="AJ531" s="1434"/>
      <c r="AK531" s="143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632"/>
      <c r="C532" s="1499"/>
      <c r="D532" s="1499"/>
      <c r="E532" s="1499"/>
      <c r="F532" s="1499"/>
      <c r="G532" s="1499"/>
      <c r="H532" s="1500"/>
      <c r="I532" s="42" t="s">
        <v>424</v>
      </c>
      <c r="J532" s="42"/>
      <c r="K532" s="42"/>
      <c r="L532" s="42"/>
      <c r="M532" s="42"/>
      <c r="N532" s="42"/>
      <c r="O532" s="1778" t="s">
        <v>2735</v>
      </c>
      <c r="P532" s="1779"/>
      <c r="Q532" s="1779"/>
      <c r="R532" s="1779"/>
      <c r="S532" s="1779"/>
      <c r="T532" s="1779"/>
      <c r="U532" s="1779"/>
      <c r="V532" s="1779"/>
      <c r="W532" s="1779"/>
      <c r="X532" s="1779"/>
      <c r="Y532" s="1779"/>
      <c r="Z532" s="1779"/>
      <c r="AA532" s="1779"/>
      <c r="AC532" s="1630" t="s">
        <v>599</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632"/>
      <c r="C533" s="1499"/>
      <c r="D533" s="1499"/>
      <c r="E533" s="1499"/>
      <c r="F533" s="1499"/>
      <c r="G533" s="1499"/>
      <c r="H533" s="1500"/>
      <c r="I533" t="s">
        <v>422</v>
      </c>
      <c r="AC533" s="1630">
        <v>1</v>
      </c>
      <c r="AD533" s="1402"/>
      <c r="AE533" s="1402"/>
      <c r="AF533" s="1402"/>
      <c r="AG533" s="38" t="s">
        <v>404</v>
      </c>
      <c r="AH533" s="1434">
        <v>2021</v>
      </c>
      <c r="AI533" s="1434"/>
      <c r="AJ533" s="1434"/>
      <c r="AK533" s="143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632"/>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30">
        <v>2</v>
      </c>
      <c r="AD534" s="1402"/>
      <c r="AE534" s="1402"/>
      <c r="AF534" s="1402"/>
      <c r="AG534" s="13" t="s">
        <v>404</v>
      </c>
      <c r="AH534" s="1434">
        <v>2021</v>
      </c>
      <c r="AI534" s="1434"/>
      <c r="AJ534" s="1434"/>
      <c r="AK534" s="143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632"/>
      <c r="C535" s="1499"/>
      <c r="D535" s="1499"/>
      <c r="E535" s="1499"/>
      <c r="F535" s="1499"/>
      <c r="G535" s="1499"/>
      <c r="H535" s="1500"/>
      <c r="I535" s="42" t="s">
        <v>424</v>
      </c>
      <c r="J535" s="42"/>
      <c r="K535" s="42"/>
      <c r="L535" s="42"/>
      <c r="M535" s="42"/>
      <c r="N535" s="42"/>
      <c r="O535" s="1778" t="s">
        <v>2736</v>
      </c>
      <c r="P535" s="1779"/>
      <c r="Q535" s="1779"/>
      <c r="R535" s="1779"/>
      <c r="S535" s="1779"/>
      <c r="T535" s="1779"/>
      <c r="U535" s="1779"/>
      <c r="V535" s="1779"/>
      <c r="W535" s="1779"/>
      <c r="X535" s="1779"/>
      <c r="Y535" s="1779"/>
      <c r="Z535" s="1779"/>
      <c r="AA535" s="1779"/>
      <c r="AC535" s="1630" t="s">
        <v>599</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632"/>
      <c r="C536" s="1499"/>
      <c r="D536" s="1499"/>
      <c r="E536" s="1499"/>
      <c r="F536" s="1499"/>
      <c r="G536" s="1499"/>
      <c r="H536" s="1500"/>
      <c r="I536" t="s">
        <v>422</v>
      </c>
      <c r="AC536" s="1630">
        <v>3</v>
      </c>
      <c r="AD536" s="1402"/>
      <c r="AE536" s="1402"/>
      <c r="AF536" s="1402"/>
      <c r="AG536" s="13" t="s">
        <v>404</v>
      </c>
      <c r="AH536" s="1434">
        <v>2021</v>
      </c>
      <c r="AI536" s="1434"/>
      <c r="AJ536" s="1434"/>
      <c r="AK536" s="143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632"/>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30">
        <v>4</v>
      </c>
      <c r="AD537" s="1402"/>
      <c r="AE537" s="1402"/>
      <c r="AF537" s="1402"/>
      <c r="AG537" s="38" t="s">
        <v>404</v>
      </c>
      <c r="AH537" s="1434">
        <v>2021</v>
      </c>
      <c r="AI537" s="1434"/>
      <c r="AJ537" s="1434"/>
      <c r="AK537" s="143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632"/>
      <c r="C538" s="1499"/>
      <c r="D538" s="1499"/>
      <c r="E538" s="1499"/>
      <c r="F538" s="1499"/>
      <c r="G538" s="1499"/>
      <c r="H538" s="1500"/>
      <c r="I538" s="42" t="s">
        <v>570</v>
      </c>
      <c r="J538" s="42"/>
      <c r="K538" s="42"/>
      <c r="L538" s="42"/>
      <c r="M538" s="42"/>
      <c r="N538" s="42"/>
      <c r="O538" s="42"/>
      <c r="P538" s="42"/>
      <c r="Q538" s="42"/>
      <c r="R538" s="42"/>
      <c r="S538" s="42"/>
      <c r="T538" s="42"/>
      <c r="U538" s="42"/>
      <c r="V538" s="42"/>
      <c r="W538" s="42"/>
      <c r="AC538" s="1630">
        <v>4</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632"/>
      <c r="C539" s="1499"/>
      <c r="D539" s="1499"/>
      <c r="E539" s="1499"/>
      <c r="F539" s="1499"/>
      <c r="G539" s="1499"/>
      <c r="H539" s="1500"/>
      <c r="I539" t="s">
        <v>571</v>
      </c>
      <c r="AC539" s="1630">
        <v>4</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632"/>
      <c r="C540" s="1499"/>
      <c r="D540" s="1499"/>
      <c r="E540" s="1499"/>
      <c r="F540" s="1499"/>
      <c r="G540" s="1499"/>
      <c r="H540" s="1500"/>
      <c r="I540" t="s">
        <v>572</v>
      </c>
      <c r="AC540" s="1630">
        <v>4</v>
      </c>
      <c r="AD540" s="1402"/>
      <c r="AE540" s="1402"/>
      <c r="AF540" s="1402"/>
      <c r="AG540" s="38" t="s">
        <v>404</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632"/>
      <c r="C541" s="1499"/>
      <c r="D541" s="1499"/>
      <c r="E541" s="1499"/>
      <c r="F541" s="1499"/>
      <c r="G541" s="1499"/>
      <c r="H541" s="1500"/>
      <c r="I541" t="s">
        <v>573</v>
      </c>
      <c r="AC541" s="1630">
        <v>4</v>
      </c>
      <c r="AD541" s="1402"/>
      <c r="AE541" s="1402"/>
      <c r="AF541" s="1402"/>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633"/>
      <c r="C542" s="1501"/>
      <c r="D542" s="1501"/>
      <c r="E542" s="1501"/>
      <c r="F542" s="1501"/>
      <c r="G542" s="1501"/>
      <c r="H542" s="1502"/>
      <c r="I542" s="48" t="s">
        <v>459</v>
      </c>
      <c r="J542" s="48"/>
      <c r="K542" s="48"/>
      <c r="L542" s="48"/>
      <c r="M542" s="48"/>
      <c r="N542" s="48"/>
      <c r="O542" s="48"/>
      <c r="P542" s="48"/>
      <c r="Q542" s="48"/>
      <c r="R542" s="48"/>
      <c r="S542" s="48"/>
      <c r="T542" s="48"/>
      <c r="U542" s="48"/>
      <c r="V542" s="48"/>
      <c r="W542" s="48"/>
      <c r="X542" s="48"/>
      <c r="Y542" s="48"/>
      <c r="Z542" s="48"/>
      <c r="AA542" s="48"/>
      <c r="AB542" s="48"/>
      <c r="AC542" s="1630">
        <v>10</v>
      </c>
      <c r="AD542" s="1402"/>
      <c r="AE542" s="1402"/>
      <c r="AF542" s="1402"/>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631" t="s">
        <v>2422</v>
      </c>
      <c r="C551" s="1497"/>
      <c r="D551" s="1497"/>
      <c r="E551" s="1497"/>
      <c r="F551" s="1497"/>
      <c r="G551" s="1497"/>
      <c r="H551" s="1497"/>
      <c r="I551" s="1497"/>
      <c r="J551" s="1497"/>
      <c r="K551" s="1497"/>
      <c r="L551" s="1498"/>
      <c r="M551" s="1631" t="s">
        <v>2423</v>
      </c>
      <c r="N551" s="1497"/>
      <c r="O551" s="1497"/>
      <c r="P551" s="1498"/>
      <c r="Q551" s="1631" t="s">
        <v>2449</v>
      </c>
      <c r="R551" s="1497"/>
      <c r="S551" s="1498"/>
      <c r="T551" s="1631" t="s">
        <v>2450</v>
      </c>
      <c r="U551" s="1497"/>
      <c r="V551" s="1498"/>
      <c r="W551" s="1631" t="s">
        <v>461</v>
      </c>
      <c r="X551" s="1497"/>
      <c r="Y551" s="1498"/>
      <c r="Z551" s="1631" t="s">
        <v>2043</v>
      </c>
      <c r="AA551" s="1497"/>
      <c r="AB551" s="1497"/>
      <c r="AC551" s="1497"/>
      <c r="AD551" s="1498"/>
      <c r="AE551" s="1631" t="s">
        <v>1865</v>
      </c>
      <c r="AF551" s="1497"/>
      <c r="AG551" s="1497"/>
      <c r="AH551" s="1498"/>
      <c r="AI551" s="1631" t="s">
        <v>1866</v>
      </c>
      <c r="AJ551" s="1497"/>
      <c r="AK551" s="1497"/>
      <c r="AL551" s="1498"/>
      <c r="AM551" s="1631" t="s">
        <v>462</v>
      </c>
      <c r="AN551" s="1497"/>
      <c r="AO551" s="1497"/>
      <c r="AP551" s="1497"/>
      <c r="AQ551" s="1497"/>
      <c r="AR551" s="1497"/>
      <c r="AS551" s="149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632"/>
      <c r="C552" s="1499"/>
      <c r="D552" s="1499"/>
      <c r="E552" s="1499"/>
      <c r="F552" s="1499"/>
      <c r="G552" s="1499"/>
      <c r="H552" s="1499"/>
      <c r="I552" s="1499"/>
      <c r="J552" s="1499"/>
      <c r="K552" s="1499"/>
      <c r="L552" s="1500"/>
      <c r="M552" s="1632"/>
      <c r="N552" s="1499"/>
      <c r="O552" s="1499"/>
      <c r="P552" s="1500"/>
      <c r="Q552" s="1632"/>
      <c r="R552" s="1499"/>
      <c r="S552" s="1500"/>
      <c r="T552" s="1632"/>
      <c r="U552" s="1499"/>
      <c r="V552" s="1500"/>
      <c r="W552" s="1632"/>
      <c r="X552" s="1499"/>
      <c r="Y552" s="1500"/>
      <c r="Z552" s="1632"/>
      <c r="AA552" s="1499"/>
      <c r="AB552" s="1499"/>
      <c r="AC552" s="1499"/>
      <c r="AD552" s="1500"/>
      <c r="AE552" s="1632"/>
      <c r="AF552" s="1499"/>
      <c r="AG552" s="1499"/>
      <c r="AH552" s="1500"/>
      <c r="AI552" s="1632"/>
      <c r="AJ552" s="1499"/>
      <c r="AK552" s="1499"/>
      <c r="AL552" s="1500"/>
      <c r="AM552" s="1632"/>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633"/>
      <c r="C553" s="1501"/>
      <c r="D553" s="1501"/>
      <c r="E553" s="1501"/>
      <c r="F553" s="1501"/>
      <c r="G553" s="1501"/>
      <c r="H553" s="1501"/>
      <c r="I553" s="1501"/>
      <c r="J553" s="1501"/>
      <c r="K553" s="1501"/>
      <c r="L553" s="1502"/>
      <c r="M553" s="1633"/>
      <c r="N553" s="1501"/>
      <c r="O553" s="1501"/>
      <c r="P553" s="1502"/>
      <c r="Q553" s="1633"/>
      <c r="R553" s="1501"/>
      <c r="S553" s="1502"/>
      <c r="T553" s="1633"/>
      <c r="U553" s="1501"/>
      <c r="V553" s="1502"/>
      <c r="W553" s="1633"/>
      <c r="X553" s="1501"/>
      <c r="Y553" s="1502"/>
      <c r="Z553" s="1633"/>
      <c r="AA553" s="1501"/>
      <c r="AB553" s="1501"/>
      <c r="AC553" s="1501"/>
      <c r="AD553" s="1502"/>
      <c r="AE553" s="1633"/>
      <c r="AF553" s="1501"/>
      <c r="AG553" s="1501"/>
      <c r="AH553" s="1502"/>
      <c r="AI553" s="1633"/>
      <c r="AJ553" s="1501"/>
      <c r="AK553" s="1501"/>
      <c r="AL553" s="1502"/>
      <c r="AM553" s="1633"/>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634" t="s">
        <v>2741</v>
      </c>
      <c r="D554" s="1634"/>
      <c r="E554" s="1634"/>
      <c r="F554" s="1634"/>
      <c r="G554" s="1634"/>
      <c r="H554" s="1634"/>
      <c r="I554" s="1634"/>
      <c r="J554" s="1634"/>
      <c r="K554" s="1634"/>
      <c r="L554" s="1634"/>
      <c r="M554" s="1634" t="s">
        <v>2439</v>
      </c>
      <c r="N554" s="1634"/>
      <c r="O554" s="1634"/>
      <c r="P554" s="1634"/>
      <c r="Q554" s="1468">
        <v>30</v>
      </c>
      <c r="R554" s="1468"/>
      <c r="S554" s="1469"/>
      <c r="T554" s="1467"/>
      <c r="U554" s="1468"/>
      <c r="V554" s="1469"/>
      <c r="W554" s="1470">
        <v>7.5800000000000006E-2</v>
      </c>
      <c r="X554" s="1471"/>
      <c r="Y554" s="1472"/>
      <c r="Z554" s="1697" t="s">
        <v>2742</v>
      </c>
      <c r="AA554" s="1697"/>
      <c r="AB554" s="1697"/>
      <c r="AC554" s="1697"/>
      <c r="AD554" s="1697"/>
      <c r="AE554" s="1627">
        <v>1</v>
      </c>
      <c r="AF554" s="1628"/>
      <c r="AG554" s="1628"/>
      <c r="AH554" s="1629"/>
      <c r="AI554" s="1624"/>
      <c r="AJ554" s="1625"/>
      <c r="AK554" s="1625"/>
      <c r="AL554" s="1626"/>
      <c r="AM554" s="1687">
        <v>31558092</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696" t="s">
        <v>2740</v>
      </c>
      <c r="D555" s="1696"/>
      <c r="E555" s="1696"/>
      <c r="F555" s="1696"/>
      <c r="G555" s="1696"/>
      <c r="H555" s="1696"/>
      <c r="I555" s="1696"/>
      <c r="J555" s="1696"/>
      <c r="K555" s="1696"/>
      <c r="L555" s="1696"/>
      <c r="M555" s="1634" t="s">
        <v>2438</v>
      </c>
      <c r="N555" s="1634"/>
      <c r="O555" s="1634"/>
      <c r="P555" s="1634"/>
      <c r="Q555" s="1467">
        <v>30</v>
      </c>
      <c r="R555" s="1468"/>
      <c r="S555" s="1469"/>
      <c r="T555" s="1467"/>
      <c r="U555" s="1468"/>
      <c r="V555" s="1469"/>
      <c r="W555" s="1470">
        <v>7.6799999999999993E-2</v>
      </c>
      <c r="X555" s="1471"/>
      <c r="Y555" s="1472"/>
      <c r="Z555" s="1697" t="s">
        <v>2742</v>
      </c>
      <c r="AA555" s="1697"/>
      <c r="AB555" s="1697"/>
      <c r="AC555" s="1697"/>
      <c r="AD555" s="1697"/>
      <c r="AE555" s="1627">
        <v>2</v>
      </c>
      <c r="AF555" s="1628"/>
      <c r="AG555" s="1628"/>
      <c r="AH555" s="1629"/>
      <c r="AI555" s="1624"/>
      <c r="AJ555" s="1625"/>
      <c r="AK555" s="1625"/>
      <c r="AL555" s="1626"/>
      <c r="AM555" s="1687">
        <v>14109121</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696" t="s">
        <v>2793</v>
      </c>
      <c r="D556" s="1696"/>
      <c r="E556" s="1696"/>
      <c r="F556" s="1696"/>
      <c r="G556" s="1696"/>
      <c r="H556" s="1696"/>
      <c r="I556" s="1696"/>
      <c r="J556" s="1696"/>
      <c r="K556" s="1696"/>
      <c r="L556" s="1696"/>
      <c r="M556" s="1634" t="s">
        <v>2446</v>
      </c>
      <c r="N556" s="1634"/>
      <c r="O556" s="1634"/>
      <c r="P556" s="1634"/>
      <c r="Q556" s="1467"/>
      <c r="R556" s="1468"/>
      <c r="S556" s="1469"/>
      <c r="T556" s="1467"/>
      <c r="U556" s="1468"/>
      <c r="V556" s="1469"/>
      <c r="W556" s="1470"/>
      <c r="X556" s="1471"/>
      <c r="Y556" s="1472"/>
      <c r="Z556" s="1697" t="s">
        <v>599</v>
      </c>
      <c r="AA556" s="1697"/>
      <c r="AB556" s="1697"/>
      <c r="AC556" s="1697"/>
      <c r="AD556" s="1697"/>
      <c r="AE556" s="1627"/>
      <c r="AF556" s="1628"/>
      <c r="AG556" s="1628"/>
      <c r="AH556" s="1629"/>
      <c r="AI556" s="1624"/>
      <c r="AJ556" s="1625"/>
      <c r="AK556" s="1625"/>
      <c r="AL556" s="1626"/>
      <c r="AM556" s="1687">
        <v>1022368</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589</v>
      </c>
      <c r="C557" s="1696" t="s">
        <v>2743</v>
      </c>
      <c r="D557" s="1696"/>
      <c r="E557" s="1696"/>
      <c r="F557" s="1696"/>
      <c r="G557" s="1696"/>
      <c r="H557" s="1696"/>
      <c r="I557" s="1696"/>
      <c r="J557" s="1696"/>
      <c r="K557" s="1696"/>
      <c r="L557" s="1696"/>
      <c r="M557" s="1634" t="s">
        <v>2435</v>
      </c>
      <c r="N557" s="1634"/>
      <c r="O557" s="1634"/>
      <c r="P557" s="1634"/>
      <c r="Q557" s="1467">
        <v>55</v>
      </c>
      <c r="R557" s="1468"/>
      <c r="S557" s="1469"/>
      <c r="T557" s="1467"/>
      <c r="U557" s="1468"/>
      <c r="V557" s="1469"/>
      <c r="W557" s="1470">
        <v>0.03</v>
      </c>
      <c r="X557" s="1471"/>
      <c r="Y557" s="1472"/>
      <c r="Z557" s="1697" t="s">
        <v>2746</v>
      </c>
      <c r="AA557" s="1697"/>
      <c r="AB557" s="1697"/>
      <c r="AC557" s="1697"/>
      <c r="AD557" s="1697"/>
      <c r="AE557" s="1627"/>
      <c r="AF557" s="1628"/>
      <c r="AG557" s="1628"/>
      <c r="AH557" s="1629"/>
      <c r="AI557" s="1624"/>
      <c r="AJ557" s="1625"/>
      <c r="AK557" s="1625"/>
      <c r="AL557" s="1626"/>
      <c r="AM557" s="1687">
        <v>3000000</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772</v>
      </c>
      <c r="C558" s="1696" t="s">
        <v>2744</v>
      </c>
      <c r="D558" s="1696"/>
      <c r="E558" s="1696"/>
      <c r="F558" s="1696"/>
      <c r="G558" s="1696"/>
      <c r="H558" s="1696"/>
      <c r="I558" s="1696"/>
      <c r="J558" s="1696"/>
      <c r="K558" s="1696"/>
      <c r="L558" s="1696"/>
      <c r="M558" s="1634" t="s">
        <v>2435</v>
      </c>
      <c r="N558" s="1634"/>
      <c r="O558" s="1634"/>
      <c r="P558" s="1634"/>
      <c r="Q558" s="1467">
        <v>55</v>
      </c>
      <c r="R558" s="1468"/>
      <c r="S558" s="1469"/>
      <c r="T558" s="1467"/>
      <c r="U558" s="1468"/>
      <c r="V558" s="1469"/>
      <c r="W558" s="1470">
        <v>0.03</v>
      </c>
      <c r="X558" s="1471"/>
      <c r="Y558" s="1472"/>
      <c r="Z558" s="1697" t="s">
        <v>2746</v>
      </c>
      <c r="AA558" s="1697"/>
      <c r="AB558" s="1697"/>
      <c r="AC558" s="1697"/>
      <c r="AD558" s="1697"/>
      <c r="AE558" s="1627"/>
      <c r="AF558" s="1628"/>
      <c r="AG558" s="1628"/>
      <c r="AH558" s="1629"/>
      <c r="AI558" s="1624"/>
      <c r="AJ558" s="1625"/>
      <c r="AK558" s="1625"/>
      <c r="AL558" s="1626"/>
      <c r="AM558" s="1687">
        <v>450000</v>
      </c>
      <c r="AN558" s="1688"/>
      <c r="AO558" s="1688"/>
      <c r="AP558" s="1688"/>
      <c r="AQ558" s="1688"/>
      <c r="AR558" s="1688"/>
      <c r="AS558" s="1689"/>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592</v>
      </c>
      <c r="C559" s="1696" t="s">
        <v>2779</v>
      </c>
      <c r="D559" s="1696"/>
      <c r="E559" s="1696"/>
      <c r="F559" s="1696"/>
      <c r="G559" s="1696"/>
      <c r="H559" s="1696"/>
      <c r="I559" s="1696"/>
      <c r="J559" s="1696"/>
      <c r="K559" s="1696"/>
      <c r="L559" s="1696"/>
      <c r="M559" s="1634" t="s">
        <v>2435</v>
      </c>
      <c r="N559" s="1634"/>
      <c r="O559" s="1634"/>
      <c r="P559" s="1634"/>
      <c r="Q559" s="1467">
        <v>55</v>
      </c>
      <c r="R559" s="1468"/>
      <c r="S559" s="1469"/>
      <c r="T559" s="1467"/>
      <c r="U559" s="1468"/>
      <c r="V559" s="1469"/>
      <c r="W559" s="1470">
        <v>0.03</v>
      </c>
      <c r="X559" s="1471"/>
      <c r="Y559" s="1472"/>
      <c r="Z559" s="1697" t="s">
        <v>2746</v>
      </c>
      <c r="AA559" s="1697"/>
      <c r="AB559" s="1697"/>
      <c r="AC559" s="1697"/>
      <c r="AD559" s="1697"/>
      <c r="AE559" s="1627"/>
      <c r="AF559" s="1628"/>
      <c r="AG559" s="1628"/>
      <c r="AH559" s="1629"/>
      <c r="AI559" s="1624"/>
      <c r="AJ559" s="1625"/>
      <c r="AK559" s="1625"/>
      <c r="AL559" s="1626"/>
      <c r="AM559" s="1687">
        <v>219892</v>
      </c>
      <c r="AN559" s="1688"/>
      <c r="AO559" s="1688"/>
      <c r="AP559" s="1688"/>
      <c r="AQ559" s="1688"/>
      <c r="AR559" s="1688"/>
      <c r="AS559" s="1689"/>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463</v>
      </c>
      <c r="C560" s="1696" t="s">
        <v>2747</v>
      </c>
      <c r="D560" s="1696"/>
      <c r="E560" s="1696"/>
      <c r="F560" s="1696"/>
      <c r="G560" s="1696"/>
      <c r="H560" s="1696"/>
      <c r="I560" s="1696"/>
      <c r="J560" s="1696"/>
      <c r="K560" s="1696"/>
      <c r="L560" s="1696"/>
      <c r="M560" s="1634" t="s">
        <v>2425</v>
      </c>
      <c r="N560" s="1634"/>
      <c r="O560" s="1634"/>
      <c r="P560" s="1634"/>
      <c r="Q560" s="1467"/>
      <c r="R560" s="1468"/>
      <c r="S560" s="1469"/>
      <c r="T560" s="1467"/>
      <c r="U560" s="1468"/>
      <c r="V560" s="1469"/>
      <c r="W560" s="1470"/>
      <c r="X560" s="1471"/>
      <c r="Y560" s="1472"/>
      <c r="Z560" s="1697" t="s">
        <v>599</v>
      </c>
      <c r="AA560" s="1697"/>
      <c r="AB560" s="1697"/>
      <c r="AC560" s="1697"/>
      <c r="AD560" s="1697"/>
      <c r="AE560" s="1627"/>
      <c r="AF560" s="1628"/>
      <c r="AG560" s="1628"/>
      <c r="AH560" s="1629"/>
      <c r="AI560" s="1624"/>
      <c r="AJ560" s="1625"/>
      <c r="AK560" s="1625"/>
      <c r="AL560" s="1626"/>
      <c r="AM560" s="1687">
        <v>1989167</v>
      </c>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464</v>
      </c>
      <c r="C561" s="1696" t="s">
        <v>1851</v>
      </c>
      <c r="D561" s="1696"/>
      <c r="E561" s="1696"/>
      <c r="F561" s="1696"/>
      <c r="G561" s="1696"/>
      <c r="H561" s="1696"/>
      <c r="I561" s="1696"/>
      <c r="J561" s="1696"/>
      <c r="K561" s="1696"/>
      <c r="L561" s="1696"/>
      <c r="M561" s="1634" t="s">
        <v>2426</v>
      </c>
      <c r="N561" s="1634"/>
      <c r="O561" s="1634"/>
      <c r="P561" s="1634"/>
      <c r="Q561" s="1467"/>
      <c r="R561" s="1468"/>
      <c r="S561" s="1469"/>
      <c r="T561" s="1467"/>
      <c r="U561" s="1468"/>
      <c r="V561" s="1469"/>
      <c r="W561" s="1470"/>
      <c r="X561" s="1471"/>
      <c r="Y561" s="1472"/>
      <c r="Z561" s="1697" t="s">
        <v>599</v>
      </c>
      <c r="AA561" s="1697"/>
      <c r="AB561" s="1697"/>
      <c r="AC561" s="1697"/>
      <c r="AD561" s="1697"/>
      <c r="AE561" s="1627"/>
      <c r="AF561" s="1628"/>
      <c r="AG561" s="1628"/>
      <c r="AH561" s="1629"/>
      <c r="AI561" s="1624"/>
      <c r="AJ561" s="1625"/>
      <c r="AK561" s="1625"/>
      <c r="AL561" s="1626"/>
      <c r="AM561" s="1687">
        <v>6130629</v>
      </c>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469</v>
      </c>
      <c r="C562" s="1696" t="s">
        <v>2748</v>
      </c>
      <c r="D562" s="1696"/>
      <c r="E562" s="1696"/>
      <c r="F562" s="1696"/>
      <c r="G562" s="1696"/>
      <c r="H562" s="1696"/>
      <c r="I562" s="1696"/>
      <c r="J562" s="1696"/>
      <c r="K562" s="1696"/>
      <c r="L562" s="1696"/>
      <c r="M562" s="1634" t="s">
        <v>2429</v>
      </c>
      <c r="N562" s="1634"/>
      <c r="O562" s="1634"/>
      <c r="P562" s="1634"/>
      <c r="Q562" s="1467"/>
      <c r="R562" s="1468"/>
      <c r="S562" s="1469"/>
      <c r="T562" s="1467"/>
      <c r="U562" s="1468"/>
      <c r="V562" s="1469"/>
      <c r="W562" s="1470"/>
      <c r="X562" s="1471"/>
      <c r="Y562" s="1472"/>
      <c r="Z562" s="1697" t="s">
        <v>599</v>
      </c>
      <c r="AA562" s="1697"/>
      <c r="AB562" s="1697"/>
      <c r="AC562" s="1697"/>
      <c r="AD562" s="1697"/>
      <c r="AE562" s="1627"/>
      <c r="AF562" s="1628"/>
      <c r="AG562" s="1628"/>
      <c r="AH562" s="1629"/>
      <c r="AI562" s="1624"/>
      <c r="AJ562" s="1625"/>
      <c r="AK562" s="1625"/>
      <c r="AL562" s="1626"/>
      <c r="AM562" s="1687">
        <v>100</v>
      </c>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654</v>
      </c>
      <c r="C563" s="1696" t="s">
        <v>2749</v>
      </c>
      <c r="D563" s="1696"/>
      <c r="E563" s="1696"/>
      <c r="F563" s="1696"/>
      <c r="G563" s="1696"/>
      <c r="H563" s="1696"/>
      <c r="I563" s="1696"/>
      <c r="J563" s="1696"/>
      <c r="K563" s="1696"/>
      <c r="L563" s="1696"/>
      <c r="M563" s="1634" t="s">
        <v>2430</v>
      </c>
      <c r="N563" s="1634"/>
      <c r="O563" s="1634"/>
      <c r="P563" s="1634"/>
      <c r="Q563" s="1467"/>
      <c r="R563" s="1468"/>
      <c r="S563" s="1469"/>
      <c r="T563" s="1467"/>
      <c r="U563" s="1468"/>
      <c r="V563" s="1469"/>
      <c r="W563" s="1470"/>
      <c r="X563" s="1471"/>
      <c r="Y563" s="1472"/>
      <c r="Z563" s="1697" t="s">
        <v>599</v>
      </c>
      <c r="AA563" s="1697"/>
      <c r="AB563" s="1697"/>
      <c r="AC563" s="1697"/>
      <c r="AD563" s="1697"/>
      <c r="AE563" s="1627"/>
      <c r="AF563" s="1628"/>
      <c r="AG563" s="1628"/>
      <c r="AH563" s="1629"/>
      <c r="AI563" s="1624"/>
      <c r="AJ563" s="1625"/>
      <c r="AK563" s="1625"/>
      <c r="AL563" s="1626"/>
      <c r="AM563" s="1687">
        <v>0</v>
      </c>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696"/>
      <c r="D564" s="1696"/>
      <c r="E564" s="1696"/>
      <c r="F564" s="1696"/>
      <c r="G564" s="1696"/>
      <c r="H564" s="1696"/>
      <c r="I564" s="1696"/>
      <c r="J564" s="1696"/>
      <c r="K564" s="1696"/>
      <c r="L564" s="1696"/>
      <c r="M564" s="1634" t="s">
        <v>1290</v>
      </c>
      <c r="N564" s="1634"/>
      <c r="O564" s="1634"/>
      <c r="P564" s="1634"/>
      <c r="Q564" s="1467"/>
      <c r="R564" s="1468"/>
      <c r="S564" s="1469"/>
      <c r="T564" s="1467"/>
      <c r="U564" s="1468"/>
      <c r="V564" s="1469"/>
      <c r="W564" s="1470"/>
      <c r="X564" s="1471"/>
      <c r="Y564" s="1472"/>
      <c r="Z564" s="1697" t="s">
        <v>1290</v>
      </c>
      <c r="AA564" s="1697"/>
      <c r="AB564" s="1697"/>
      <c r="AC564" s="1697"/>
      <c r="AD564" s="1697"/>
      <c r="AE564" s="1627"/>
      <c r="AF564" s="1628"/>
      <c r="AG564" s="1628"/>
      <c r="AH564" s="1629"/>
      <c r="AI564" s="1624"/>
      <c r="AJ564" s="1625"/>
      <c r="AK564" s="1625"/>
      <c r="AL564" s="1626"/>
      <c r="AM564" s="1687">
        <v>3133954</v>
      </c>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696"/>
      <c r="D565" s="1696"/>
      <c r="E565" s="1696"/>
      <c r="F565" s="1696"/>
      <c r="G565" s="1696"/>
      <c r="H565" s="1696"/>
      <c r="I565" s="1696"/>
      <c r="J565" s="1696"/>
      <c r="K565" s="1696"/>
      <c r="L565" s="1696"/>
      <c r="M565" s="1634" t="s">
        <v>1290</v>
      </c>
      <c r="N565" s="1634"/>
      <c r="O565" s="1634"/>
      <c r="P565" s="1634"/>
      <c r="Q565" s="1467"/>
      <c r="R565" s="1468"/>
      <c r="S565" s="1469"/>
      <c r="T565" s="1467"/>
      <c r="U565" s="1468"/>
      <c r="V565" s="1469"/>
      <c r="W565" s="1470"/>
      <c r="X565" s="1471"/>
      <c r="Y565" s="1472"/>
      <c r="Z565" s="1697" t="s">
        <v>1290</v>
      </c>
      <c r="AA565" s="1697"/>
      <c r="AB565" s="1697"/>
      <c r="AC565" s="1697"/>
      <c r="AD565" s="1697"/>
      <c r="AE565" s="1627"/>
      <c r="AF565" s="1628"/>
      <c r="AG565" s="1628"/>
      <c r="AH565" s="1629"/>
      <c r="AI565" s="1624"/>
      <c r="AJ565" s="1625"/>
      <c r="AK565" s="1625"/>
      <c r="AL565" s="1626"/>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5"/>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61613323</v>
      </c>
      <c r="AN566" s="1365"/>
      <c r="AO566" s="1365"/>
      <c r="AP566" s="1365"/>
      <c r="AQ566" s="1365"/>
      <c r="AR566" s="1365"/>
      <c r="AS566" s="1366"/>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471</v>
      </c>
      <c r="G568" s="1449" t="str">
        <f>C554</f>
        <v>Wells Fargo, Tax-Exempt</v>
      </c>
      <c r="H568" s="1449"/>
      <c r="I568" s="1449"/>
      <c r="J568" s="1449"/>
      <c r="K568" s="1449"/>
      <c r="L568" s="1449"/>
      <c r="M568" s="1449"/>
      <c r="N568" s="1449"/>
      <c r="O568" s="1449"/>
      <c r="P568" s="1449"/>
      <c r="Q568" s="1449"/>
      <c r="R568" s="1449"/>
      <c r="S568" s="8"/>
      <c r="T568" s="55" t="s">
        <v>113</v>
      </c>
      <c r="U568" t="s">
        <v>471</v>
      </c>
      <c r="Z568" s="1449" t="str">
        <f>C555</f>
        <v>Wells Fargo, Taxable</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404" t="s">
        <v>2772</v>
      </c>
      <c r="H569" s="1404"/>
      <c r="I569" s="1404"/>
      <c r="J569" s="1404"/>
      <c r="K569" s="1404"/>
      <c r="L569" s="1404"/>
      <c r="M569" s="1404"/>
      <c r="N569" s="1404"/>
      <c r="O569" s="1404"/>
      <c r="P569" s="1404"/>
      <c r="Q569" s="1404"/>
      <c r="R569" s="1404"/>
      <c r="S569" s="8"/>
      <c r="T569" s="22"/>
      <c r="U569" t="s">
        <v>85</v>
      </c>
      <c r="Z569" s="1404" t="s">
        <v>2772</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588</v>
      </c>
      <c r="G570" s="1404" t="s">
        <v>502</v>
      </c>
      <c r="H570" s="1404"/>
      <c r="I570" s="1404"/>
      <c r="J570" s="1404"/>
      <c r="K570" s="1404"/>
      <c r="L570" s="1404"/>
      <c r="M570" s="1404"/>
      <c r="N570" s="1404"/>
      <c r="O570" s="1404"/>
      <c r="P570" s="1404"/>
      <c r="Q570" s="1404"/>
      <c r="R570" s="1404"/>
      <c r="T570" s="22"/>
      <c r="U570" t="s">
        <v>588</v>
      </c>
      <c r="Z570" s="1405" t="s">
        <v>502</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404" t="s">
        <v>2773</v>
      </c>
      <c r="H571" s="1404"/>
      <c r="I571" s="1404"/>
      <c r="J571" s="1404"/>
      <c r="K571" s="1404"/>
      <c r="L571" s="1404"/>
      <c r="M571" s="1404"/>
      <c r="N571" s="1404"/>
      <c r="O571" s="1404"/>
      <c r="P571" s="1404"/>
      <c r="Q571" s="1404"/>
      <c r="R571" s="1404"/>
      <c r="S571" s="8"/>
      <c r="T571" s="22"/>
      <c r="U571" t="s">
        <v>17</v>
      </c>
      <c r="Z571" s="1405" t="s">
        <v>2773</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74" t="s">
        <v>2774</v>
      </c>
      <c r="H572" s="1474"/>
      <c r="I572" s="1474"/>
      <c r="J572" s="1474"/>
      <c r="K572" s="1474"/>
      <c r="L572" s="1474"/>
      <c r="O572" s="33" t="s">
        <v>207</v>
      </c>
      <c r="P572" s="1487"/>
      <c r="Q572" s="1487"/>
      <c r="R572" s="1487"/>
      <c r="S572" s="10"/>
      <c r="T572" s="22"/>
      <c r="U572" t="s">
        <v>317</v>
      </c>
      <c r="Z572" s="1474" t="s">
        <v>2774</v>
      </c>
      <c r="AA572" s="1474"/>
      <c r="AB572" s="1474"/>
      <c r="AC572" s="1474"/>
      <c r="AD572" s="1474"/>
      <c r="AE572" s="1474"/>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404" t="s">
        <v>2775</v>
      </c>
      <c r="I573" s="1404"/>
      <c r="J573" s="1404"/>
      <c r="K573" s="1404"/>
      <c r="L573" s="1404"/>
      <c r="M573" s="1404"/>
      <c r="N573" s="1404"/>
      <c r="O573" s="1404"/>
      <c r="P573" s="1404"/>
      <c r="Q573" s="1404"/>
      <c r="R573" s="1404"/>
      <c r="S573" s="8"/>
      <c r="T573" s="22"/>
      <c r="U573" t="s">
        <v>18</v>
      </c>
      <c r="AA573" s="1404" t="s">
        <v>2775</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1291</v>
      </c>
      <c r="H574" s="8"/>
      <c r="I574" s="8"/>
      <c r="J574" s="8"/>
      <c r="K574" s="8"/>
      <c r="L574" s="8"/>
      <c r="M574" s="1744"/>
      <c r="N574" s="1744"/>
      <c r="O574" s="1744"/>
      <c r="P574" s="1744"/>
      <c r="Q574" s="1744"/>
      <c r="R574" s="1744"/>
      <c r="S574" s="8"/>
      <c r="T574" s="22"/>
      <c r="U574" s="348" t="s">
        <v>1291</v>
      </c>
      <c r="AA574" s="8"/>
      <c r="AB574" s="8"/>
      <c r="AC574" s="8"/>
      <c r="AD574" s="8"/>
      <c r="AE574" s="8"/>
      <c r="AF574" s="1744"/>
      <c r="AG574" s="1744"/>
      <c r="AH574" s="1744"/>
      <c r="AI574" s="1744"/>
      <c r="AJ574" s="1744"/>
      <c r="AK574" s="174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471</v>
      </c>
      <c r="G577" s="1449" t="str">
        <f>C556</f>
        <v>HACR Seller Carryback Loan</v>
      </c>
      <c r="H577" s="1449"/>
      <c r="I577" s="1449"/>
      <c r="J577" s="1449"/>
      <c r="K577" s="1449"/>
      <c r="L577" s="1449"/>
      <c r="M577" s="1449"/>
      <c r="N577" s="1449"/>
      <c r="O577" s="1449"/>
      <c r="P577" s="1449"/>
      <c r="Q577" s="1449"/>
      <c r="R577" s="1449"/>
      <c r="T577" s="55" t="s">
        <v>589</v>
      </c>
      <c r="U577" t="s">
        <v>471</v>
      </c>
      <c r="Z577" s="1449" t="str">
        <f>C557</f>
        <v>HACR PLHA Loan</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404" t="s">
        <v>2776</v>
      </c>
      <c r="H578" s="1404"/>
      <c r="I578" s="1404"/>
      <c r="J578" s="1404"/>
      <c r="K578" s="1404"/>
      <c r="L578" s="1404"/>
      <c r="M578" s="1404"/>
      <c r="N578" s="1404"/>
      <c r="O578" s="1404"/>
      <c r="P578" s="1404"/>
      <c r="Q578" s="1404"/>
      <c r="R578" s="1404"/>
      <c r="T578" s="22"/>
      <c r="U578" t="s">
        <v>85</v>
      </c>
      <c r="Z578" s="1404" t="s">
        <v>2776</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588</v>
      </c>
      <c r="G579" s="1405" t="s">
        <v>67</v>
      </c>
      <c r="H579" s="1405"/>
      <c r="I579" s="1405"/>
      <c r="J579" s="1405"/>
      <c r="K579" s="1405"/>
      <c r="L579" s="1405"/>
      <c r="M579" s="1405"/>
      <c r="N579" s="1405"/>
      <c r="O579" s="1405"/>
      <c r="P579" s="1405"/>
      <c r="Q579" s="1405"/>
      <c r="R579" s="1405"/>
      <c r="T579" s="22"/>
      <c r="U579" t="s">
        <v>588</v>
      </c>
      <c r="Z579" s="1405" t="s">
        <v>67</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05" t="s">
        <v>2777</v>
      </c>
      <c r="H580" s="1405"/>
      <c r="I580" s="1405"/>
      <c r="J580" s="1405"/>
      <c r="K580" s="1405"/>
      <c r="L580" s="1405"/>
      <c r="M580" s="1405"/>
      <c r="N580" s="1405"/>
      <c r="O580" s="1405"/>
      <c r="P580" s="1405"/>
      <c r="Q580" s="1405"/>
      <c r="R580" s="1405"/>
      <c r="T580" s="22"/>
      <c r="U580" t="s">
        <v>17</v>
      </c>
      <c r="Z580" s="1405" t="s">
        <v>2777</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474" t="s">
        <v>2723</v>
      </c>
      <c r="H581" s="1474"/>
      <c r="I581" s="1474"/>
      <c r="J581" s="1474"/>
      <c r="K581" s="1474"/>
      <c r="L581" s="1474"/>
      <c r="O581" s="33" t="s">
        <v>207</v>
      </c>
      <c r="P581" s="1487"/>
      <c r="Q581" s="1487"/>
      <c r="R581" s="1487"/>
      <c r="T581" s="22"/>
      <c r="U581" t="s">
        <v>317</v>
      </c>
      <c r="Z581" s="1474" t="s">
        <v>2723</v>
      </c>
      <c r="AA581" s="1474"/>
      <c r="AB581" s="1474"/>
      <c r="AC581" s="1474"/>
      <c r="AD581" s="1474"/>
      <c r="AE581" s="1474"/>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404" t="s">
        <v>2778</v>
      </c>
      <c r="I582" s="1404"/>
      <c r="J582" s="1404"/>
      <c r="K582" s="1404"/>
      <c r="L582" s="1404"/>
      <c r="M582" s="1404"/>
      <c r="N582" s="1404"/>
      <c r="O582" s="1404"/>
      <c r="P582" s="1404"/>
      <c r="Q582" s="1404"/>
      <c r="R582" s="1404"/>
      <c r="T582" s="22"/>
      <c r="U582" t="s">
        <v>18</v>
      </c>
      <c r="AA582" s="1404" t="s">
        <v>2778</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772</v>
      </c>
      <c r="B585" t="s">
        <v>471</v>
      </c>
      <c r="G585" s="1449" t="str">
        <f>C558</f>
        <v>HACR Taxable Housing Bond</v>
      </c>
      <c r="H585" s="1449"/>
      <c r="I585" s="1449"/>
      <c r="J585" s="1449"/>
      <c r="K585" s="1449"/>
      <c r="L585" s="1449"/>
      <c r="M585" s="1449"/>
      <c r="N585" s="1449"/>
      <c r="O585" s="1449"/>
      <c r="P585" s="1449"/>
      <c r="Q585" s="1449"/>
      <c r="R585" s="1449"/>
      <c r="T585" s="55" t="s">
        <v>592</v>
      </c>
      <c r="U585" t="s">
        <v>471</v>
      </c>
      <c r="Z585" s="1449" t="str">
        <f>C559</f>
        <v>HACR (Former City of Coachella) RDA Funds</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404" t="s">
        <v>2776</v>
      </c>
      <c r="H586" s="1404"/>
      <c r="I586" s="1404"/>
      <c r="J586" s="1404"/>
      <c r="K586" s="1404"/>
      <c r="L586" s="1404"/>
      <c r="M586" s="1404"/>
      <c r="N586" s="1404"/>
      <c r="O586" s="1404"/>
      <c r="P586" s="1404"/>
      <c r="Q586" s="1404"/>
      <c r="R586" s="1404"/>
      <c r="T586" s="22"/>
      <c r="U586" t="s">
        <v>85</v>
      </c>
      <c r="Z586" s="1404" t="s">
        <v>2776</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588</v>
      </c>
      <c r="G587" s="1404" t="s">
        <v>67</v>
      </c>
      <c r="H587" s="1404"/>
      <c r="I587" s="1404"/>
      <c r="J587" s="1404"/>
      <c r="K587" s="1404"/>
      <c r="L587" s="1404"/>
      <c r="M587" s="1404"/>
      <c r="N587" s="1404"/>
      <c r="O587" s="1404"/>
      <c r="P587" s="1404"/>
      <c r="Q587" s="1404"/>
      <c r="R587" s="1404"/>
      <c r="T587" s="22"/>
      <c r="U587" t="s">
        <v>588</v>
      </c>
      <c r="Z587" s="1405" t="s">
        <v>67</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404" t="s">
        <v>2777</v>
      </c>
      <c r="H588" s="1404"/>
      <c r="I588" s="1404"/>
      <c r="J588" s="1404"/>
      <c r="K588" s="1404"/>
      <c r="L588" s="1404"/>
      <c r="M588" s="1404"/>
      <c r="N588" s="1404"/>
      <c r="O588" s="1404"/>
      <c r="P588" s="1404"/>
      <c r="Q588" s="1404"/>
      <c r="R588" s="1404"/>
      <c r="T588" s="22"/>
      <c r="U588" t="s">
        <v>17</v>
      </c>
      <c r="Z588" s="1405" t="s">
        <v>2777</v>
      </c>
      <c r="AA588" s="1405"/>
      <c r="AB588" s="1405"/>
      <c r="AC588" s="1405"/>
      <c r="AD588" s="1405"/>
      <c r="AE588" s="1405"/>
      <c r="AF588" s="1405"/>
      <c r="AG588" s="1405"/>
      <c r="AH588" s="1405"/>
      <c r="AI588" s="1405"/>
      <c r="AJ588" s="1405"/>
      <c r="AK588" s="1405"/>
    </row>
    <row r="589" spans="1:110" ht="13.15" customHeight="1">
      <c r="A589" s="22"/>
      <c r="B589" t="s">
        <v>317</v>
      </c>
      <c r="G589" s="1474" t="s">
        <v>2723</v>
      </c>
      <c r="H589" s="1474"/>
      <c r="I589" s="1474"/>
      <c r="J589" s="1474"/>
      <c r="K589" s="1474"/>
      <c r="L589" s="1474"/>
      <c r="O589" s="33" t="s">
        <v>207</v>
      </c>
      <c r="P589" s="1487"/>
      <c r="Q589" s="1487"/>
      <c r="R589" s="1487"/>
      <c r="T589" s="22"/>
      <c r="U589" t="s">
        <v>317</v>
      </c>
      <c r="Z589" s="1474" t="s">
        <v>2723</v>
      </c>
      <c r="AA589" s="1474"/>
      <c r="AB589" s="1474"/>
      <c r="AC589" s="1474"/>
      <c r="AD589" s="1474"/>
      <c r="AE589" s="1474"/>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404" t="s">
        <v>2778</v>
      </c>
      <c r="I590" s="1404"/>
      <c r="J590" s="1404"/>
      <c r="K590" s="1404"/>
      <c r="L590" s="1404"/>
      <c r="M590" s="1404"/>
      <c r="N590" s="1404"/>
      <c r="O590" s="1404"/>
      <c r="P590" s="1404"/>
      <c r="Q590" s="1404"/>
      <c r="R590" s="1404"/>
      <c r="T590" s="22"/>
      <c r="U590" t="s">
        <v>18</v>
      </c>
      <c r="AA590" s="1404" t="s">
        <v>2778</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403" t="s">
        <v>553</v>
      </c>
      <c r="O591" s="1403"/>
      <c r="T591" s="22"/>
      <c r="U591" t="s">
        <v>20</v>
      </c>
      <c r="AG591" s="1403" t="s">
        <v>553</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463</v>
      </c>
      <c r="B593" t="s">
        <v>471</v>
      </c>
      <c r="G593" s="1449" t="str">
        <f>C560</f>
        <v>Deferred Costs</v>
      </c>
      <c r="H593" s="1449"/>
      <c r="I593" s="1449"/>
      <c r="J593" s="1449"/>
      <c r="K593" s="1449"/>
      <c r="L593" s="1449"/>
      <c r="M593" s="1449"/>
      <c r="N593" s="1449"/>
      <c r="O593" s="1449"/>
      <c r="P593" s="1449"/>
      <c r="Q593" s="1449"/>
      <c r="R593" s="1449"/>
      <c r="T593" s="55" t="s">
        <v>464</v>
      </c>
      <c r="U593" t="s">
        <v>471</v>
      </c>
      <c r="Z593" s="1449" t="str">
        <f>C561</f>
        <v>Deferred Developer Fee</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404" t="s">
        <v>2644</v>
      </c>
      <c r="H594" s="1404"/>
      <c r="I594" s="1404"/>
      <c r="J594" s="1404"/>
      <c r="K594" s="1404"/>
      <c r="L594" s="1404"/>
      <c r="M594" s="1404"/>
      <c r="N594" s="1404"/>
      <c r="O594" s="1404"/>
      <c r="P594" s="1404"/>
      <c r="Q594" s="1404"/>
      <c r="R594" s="1404"/>
      <c r="S594"/>
      <c r="T594" s="22"/>
      <c r="U594" t="s">
        <v>85</v>
      </c>
      <c r="V594"/>
      <c r="W594"/>
      <c r="X594"/>
      <c r="Y594"/>
      <c r="Z594" s="1404" t="s">
        <v>2644</v>
      </c>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588</v>
      </c>
      <c r="C595"/>
      <c r="D595"/>
      <c r="E595"/>
      <c r="F595"/>
      <c r="G595" s="1404" t="s">
        <v>502</v>
      </c>
      <c r="H595" s="1404"/>
      <c r="I595" s="1404"/>
      <c r="J595" s="1404"/>
      <c r="K595" s="1404"/>
      <c r="L595" s="1404"/>
      <c r="M595" s="1404"/>
      <c r="N595" s="1404"/>
      <c r="O595" s="1404"/>
      <c r="P595" s="1404"/>
      <c r="Q595" s="1404"/>
      <c r="R595" s="1404"/>
      <c r="S595"/>
      <c r="T595" s="22"/>
      <c r="U595" t="s">
        <v>588</v>
      </c>
      <c r="V595"/>
      <c r="W595"/>
      <c r="X595"/>
      <c r="Y595"/>
      <c r="Z595" s="1405" t="s">
        <v>502</v>
      </c>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404" t="s">
        <v>2646</v>
      </c>
      <c r="H596" s="1404"/>
      <c r="I596" s="1404"/>
      <c r="J596" s="1404"/>
      <c r="K596" s="1404"/>
      <c r="L596" s="1404"/>
      <c r="M596" s="1404"/>
      <c r="N596" s="1404"/>
      <c r="O596" s="1404"/>
      <c r="P596" s="1404"/>
      <c r="Q596" s="1404"/>
      <c r="R596" s="1404"/>
      <c r="S596"/>
      <c r="T596" s="22"/>
      <c r="U596" t="s">
        <v>17</v>
      </c>
      <c r="V596"/>
      <c r="W596"/>
      <c r="X596"/>
      <c r="Y596"/>
      <c r="Z596" s="1405" t="s">
        <v>2646</v>
      </c>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482</v>
      </c>
      <c r="BF596" s="122"/>
      <c r="BG596" s="1490"/>
      <c r="BH596" s="1492"/>
      <c r="BI596" s="121" t="s">
        <v>483</v>
      </c>
      <c r="BJ596" s="122"/>
      <c r="BK596" s="1490"/>
      <c r="BL596" s="1492"/>
      <c r="BM596" s="3"/>
      <c r="BN596" s="1422" t="s">
        <v>641</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468</v>
      </c>
      <c r="CI596" s="1505"/>
      <c r="CJ596" s="1505"/>
      <c r="CK596" s="1505"/>
      <c r="CL596" s="1505"/>
      <c r="CM596" s="1505" t="s">
        <v>30</v>
      </c>
      <c r="CN596" s="1505"/>
      <c r="CO596" s="1505"/>
      <c r="CP596" s="1505"/>
      <c r="CQ596" s="1505"/>
      <c r="CR596" s="89"/>
      <c r="CS596" s="1505" t="s">
        <v>641</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468</v>
      </c>
      <c r="DN596" s="1505"/>
      <c r="DO596" s="1505"/>
      <c r="DP596" s="1505"/>
      <c r="DQ596" s="1505"/>
      <c r="DR596" s="1505" t="s">
        <v>30</v>
      </c>
      <c r="DS596" s="1505"/>
      <c r="DT596" s="1505"/>
      <c r="DU596" s="1505"/>
      <c r="DV596" s="1505"/>
      <c r="DX596" s="1505" t="s">
        <v>641</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468</v>
      </c>
      <c r="ES596" s="1505"/>
      <c r="ET596" s="1505"/>
      <c r="EU596" s="1505"/>
      <c r="EV596" s="1505"/>
      <c r="EW596" s="1505" t="s">
        <v>30</v>
      </c>
      <c r="EX596" s="1505"/>
      <c r="EY596" s="1505"/>
      <c r="EZ596" s="1505"/>
      <c r="FA596" s="1505"/>
    </row>
    <row r="597" spans="1:157" s="4" customFormat="1" ht="13.15" customHeight="1">
      <c r="A597" s="22"/>
      <c r="B597" t="s">
        <v>317</v>
      </c>
      <c r="C597"/>
      <c r="D597"/>
      <c r="E597"/>
      <c r="F597"/>
      <c r="G597" s="1474" t="s">
        <v>2647</v>
      </c>
      <c r="H597" s="1474"/>
      <c r="I597" s="1474"/>
      <c r="J597" s="1474"/>
      <c r="K597" s="1474"/>
      <c r="L597" s="1474"/>
      <c r="M597"/>
      <c r="N597"/>
      <c r="O597" s="33" t="s">
        <v>207</v>
      </c>
      <c r="P597" s="1487"/>
      <c r="Q597" s="1487"/>
      <c r="R597" s="1487"/>
      <c r="S597"/>
      <c r="T597" s="22"/>
      <c r="U597" t="s">
        <v>317</v>
      </c>
      <c r="V597"/>
      <c r="W597"/>
      <c r="X597"/>
      <c r="Y597"/>
      <c r="Z597" s="1474" t="s">
        <v>2647</v>
      </c>
      <c r="AA597" s="1474"/>
      <c r="AB597" s="1474"/>
      <c r="AC597" s="1474"/>
      <c r="AD597" s="1474"/>
      <c r="AE597" s="1474"/>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1</v>
      </c>
      <c r="BJ597" s="1482"/>
      <c r="BK597" s="1490">
        <f t="shared" ref="BK597:BK631" si="4">IF(BI597=1,G718,0)</f>
        <v>16</v>
      </c>
      <c r="BL597" s="1492"/>
      <c r="BM597" s="3"/>
      <c r="BN597" s="1484">
        <f t="shared" ref="BN597:BN631" si="5">IF(B718="SRO/Studio",G718,0)</f>
        <v>0</v>
      </c>
      <c r="BO597" s="1485"/>
      <c r="BP597" s="1485"/>
      <c r="BQ597" s="1485"/>
      <c r="BR597" s="1486"/>
      <c r="BS597" s="1483">
        <f t="shared" ref="BS597:BS631" si="6">IF(B718="1 Bedroom",G718,0)</f>
        <v>16</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0</v>
      </c>
      <c r="CT597" s="1493"/>
      <c r="CU597" s="1493"/>
      <c r="CV597" s="1493"/>
      <c r="CW597" s="1493"/>
      <c r="CX597" s="1493">
        <f t="shared" ref="CX597:CX631" si="12">IF(AND(B718="1 Bedroom",AC718&lt;=0.3),G718,0)</f>
        <v>16</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t="str">
        <f t="shared" ref="DX597:DX631" si="17">IF(BN597&gt;0,O718,"")</f>
        <v/>
      </c>
      <c r="DY597" s="1481"/>
      <c r="DZ597" s="1481"/>
      <c r="EA597" s="1481"/>
      <c r="EB597" s="1482"/>
      <c r="EC597" s="1480">
        <f t="shared" ref="EC597:EC631" si="18">IF(BS597&gt;0,O718,"")</f>
        <v>466</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3.15" customHeight="1">
      <c r="A598" s="22"/>
      <c r="B598" t="s">
        <v>18</v>
      </c>
      <c r="C598"/>
      <c r="D598"/>
      <c r="E598"/>
      <c r="F598"/>
      <c r="G598"/>
      <c r="H598" s="1404" t="s">
        <v>2747</v>
      </c>
      <c r="I598" s="1404"/>
      <c r="J598" s="1404"/>
      <c r="K598" s="1404"/>
      <c r="L598" s="1404"/>
      <c r="M598" s="1404"/>
      <c r="N598" s="1404"/>
      <c r="O598" s="1404"/>
      <c r="P598" s="1404"/>
      <c r="Q598" s="1404"/>
      <c r="R598" s="1404"/>
      <c r="S598"/>
      <c r="T598" s="22"/>
      <c r="U598" t="s">
        <v>18</v>
      </c>
      <c r="V598"/>
      <c r="W598"/>
      <c r="X598"/>
      <c r="Y598"/>
      <c r="Z598"/>
      <c r="AA598" s="1404" t="s">
        <v>1851</v>
      </c>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0</v>
      </c>
      <c r="BF598" s="1482"/>
      <c r="BG598" s="1490">
        <f t="shared" si="2"/>
        <v>0</v>
      </c>
      <c r="BH598" s="1492"/>
      <c r="BI598" s="1480">
        <f t="shared" si="3"/>
        <v>1</v>
      </c>
      <c r="BJ598" s="1482"/>
      <c r="BK598" s="1490">
        <f t="shared" si="4"/>
        <v>30</v>
      </c>
      <c r="BL598" s="1492"/>
      <c r="BM598" s="3"/>
      <c r="BN598" s="1484">
        <f t="shared" si="5"/>
        <v>0</v>
      </c>
      <c r="BO598" s="1485"/>
      <c r="BP598" s="1485"/>
      <c r="BQ598" s="1485"/>
      <c r="BR598" s="1486"/>
      <c r="BS598" s="1483">
        <f t="shared" si="6"/>
        <v>0</v>
      </c>
      <c r="BT598" s="1483"/>
      <c r="BU598" s="1483"/>
      <c r="BV598" s="1483"/>
      <c r="BW598" s="1483"/>
      <c r="BX598" s="1483">
        <f t="shared" si="7"/>
        <v>30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0</v>
      </c>
      <c r="CT598" s="1493"/>
      <c r="CU598" s="1493"/>
      <c r="CV598" s="1493"/>
      <c r="CW598" s="1493"/>
      <c r="CX598" s="1493">
        <f t="shared" si="12"/>
        <v>0</v>
      </c>
      <c r="CY598" s="1493"/>
      <c r="CZ598" s="1493"/>
      <c r="DA598" s="1493"/>
      <c r="DB598" s="1493"/>
      <c r="DC598" s="1493">
        <f t="shared" si="13"/>
        <v>30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t="str">
        <f t="shared" si="17"/>
        <v/>
      </c>
      <c r="DY598" s="1481"/>
      <c r="DZ598" s="1481"/>
      <c r="EA598" s="1481"/>
      <c r="EB598" s="1482"/>
      <c r="EC598" s="1480" t="str">
        <f t="shared" si="18"/>
        <v/>
      </c>
      <c r="ED598" s="1481"/>
      <c r="EE598" s="1481"/>
      <c r="EF598" s="1481"/>
      <c r="EG598" s="1482"/>
      <c r="EH598" s="1480">
        <f t="shared" si="19"/>
        <v>550</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3.15" customHeight="1">
      <c r="A599" s="22"/>
      <c r="B599" t="s">
        <v>20</v>
      </c>
      <c r="N599" s="1403" t="s">
        <v>553</v>
      </c>
      <c r="O599" s="1403"/>
      <c r="T599" s="22"/>
      <c r="U599" t="s">
        <v>20</v>
      </c>
      <c r="AG599" s="1403" t="s">
        <v>553</v>
      </c>
      <c r="AH599" s="1403"/>
      <c r="BA599" s="4" t="s">
        <v>164</v>
      </c>
      <c r="BB599" s="3"/>
      <c r="BC599" s="3"/>
      <c r="BD599" s="3"/>
      <c r="BE599" s="1480">
        <f t="shared" si="1"/>
        <v>0</v>
      </c>
      <c r="BF599" s="1482"/>
      <c r="BG599" s="1490">
        <f t="shared" si="2"/>
        <v>0</v>
      </c>
      <c r="BH599" s="1492"/>
      <c r="BI599" s="1480">
        <f t="shared" si="3"/>
        <v>1</v>
      </c>
      <c r="BJ599" s="1482"/>
      <c r="BK599" s="1490">
        <f t="shared" si="4"/>
        <v>4</v>
      </c>
      <c r="BL599" s="1492"/>
      <c r="BM599" s="3"/>
      <c r="BN599" s="1484">
        <f t="shared" si="5"/>
        <v>0</v>
      </c>
      <c r="BO599" s="1485"/>
      <c r="BP599" s="1485"/>
      <c r="BQ599" s="1485"/>
      <c r="BR599" s="1486"/>
      <c r="BS599" s="1483">
        <f t="shared" si="6"/>
        <v>0</v>
      </c>
      <c r="BT599" s="1483"/>
      <c r="BU599" s="1483"/>
      <c r="BV599" s="1483"/>
      <c r="BW599" s="1483"/>
      <c r="BX599" s="1483">
        <f t="shared" si="7"/>
        <v>0</v>
      </c>
      <c r="BY599" s="1483"/>
      <c r="BZ599" s="1483"/>
      <c r="CA599" s="1483"/>
      <c r="CB599" s="1483"/>
      <c r="CC599" s="1483">
        <f t="shared" si="8"/>
        <v>4</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4</v>
      </c>
      <c r="DI599" s="1493"/>
      <c r="DJ599" s="1493"/>
      <c r="DK599" s="1493"/>
      <c r="DL599" s="1493"/>
      <c r="DM599" s="1493">
        <f t="shared" si="15"/>
        <v>0</v>
      </c>
      <c r="DN599" s="1493"/>
      <c r="DO599" s="1493"/>
      <c r="DP599" s="1493"/>
      <c r="DQ599" s="1493"/>
      <c r="DR599" s="1493">
        <f t="shared" si="16"/>
        <v>0</v>
      </c>
      <c r="DS599" s="1493"/>
      <c r="DT599" s="1493"/>
      <c r="DU599" s="1493"/>
      <c r="DV599" s="1493"/>
      <c r="DX599" s="1480" t="str">
        <f t="shared" si="17"/>
        <v/>
      </c>
      <c r="DY599" s="1481"/>
      <c r="DZ599" s="1481"/>
      <c r="EA599" s="1481"/>
      <c r="EB599" s="1482"/>
      <c r="EC599" s="1480" t="str">
        <f t="shared" si="18"/>
        <v/>
      </c>
      <c r="ED599" s="1481"/>
      <c r="EE599" s="1481"/>
      <c r="EF599" s="1481"/>
      <c r="EG599" s="1482"/>
      <c r="EH599" s="1480" t="str">
        <f t="shared" si="19"/>
        <v/>
      </c>
      <c r="EI599" s="1481"/>
      <c r="EJ599" s="1481"/>
      <c r="EK599" s="1481"/>
      <c r="EL599" s="1482"/>
      <c r="EM599" s="1480">
        <f t="shared" si="20"/>
        <v>627</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3.15" customHeight="1">
      <c r="A600" s="22"/>
      <c r="T600" s="22"/>
      <c r="BA600" s="4" t="s">
        <v>165</v>
      </c>
      <c r="BB600" s="3"/>
      <c r="BC600" s="3"/>
      <c r="BD600" s="3"/>
      <c r="BE600" s="1480">
        <f t="shared" si="1"/>
        <v>0</v>
      </c>
      <c r="BF600" s="1482"/>
      <c r="BG600" s="1490">
        <f t="shared" si="2"/>
        <v>0</v>
      </c>
      <c r="BH600" s="1492"/>
      <c r="BI600" s="1480">
        <f t="shared" si="3"/>
        <v>0</v>
      </c>
      <c r="BJ600" s="1482"/>
      <c r="BK600" s="1490">
        <f t="shared" si="4"/>
        <v>0</v>
      </c>
      <c r="BL600" s="1492"/>
      <c r="BM600" s="3"/>
      <c r="BN600" s="1484">
        <f t="shared" si="5"/>
        <v>0</v>
      </c>
      <c r="BO600" s="1485"/>
      <c r="BP600" s="1485"/>
      <c r="BQ600" s="1485"/>
      <c r="BR600" s="1486"/>
      <c r="BS600" s="1483">
        <f t="shared" si="6"/>
        <v>0</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0</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t="str">
        <f t="shared" si="18"/>
        <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3.15" customHeight="1">
      <c r="A601" s="55" t="s">
        <v>469</v>
      </c>
      <c r="B601" t="s">
        <v>471</v>
      </c>
      <c r="G601" s="1449" t="str">
        <f>C562</f>
        <v>Equity Contribution - GP</v>
      </c>
      <c r="H601" s="1449"/>
      <c r="I601" s="1449"/>
      <c r="J601" s="1449"/>
      <c r="K601" s="1449"/>
      <c r="L601" s="1449"/>
      <c r="M601" s="1449"/>
      <c r="N601" s="1449"/>
      <c r="O601" s="1449"/>
      <c r="P601" s="1449"/>
      <c r="Q601" s="1449"/>
      <c r="R601" s="1449"/>
      <c r="T601" s="55" t="s">
        <v>654</v>
      </c>
      <c r="U601" t="s">
        <v>471</v>
      </c>
      <c r="Z601" s="1449" t="str">
        <f>C563</f>
        <v>Equity Contribution - LP</v>
      </c>
      <c r="AA601" s="1449"/>
      <c r="AB601" s="1449"/>
      <c r="AC601" s="1449"/>
      <c r="AD601" s="1449"/>
      <c r="AE601" s="1449"/>
      <c r="AF601" s="1449"/>
      <c r="AG601" s="1449"/>
      <c r="AH601" s="1449"/>
      <c r="AI601" s="1449"/>
      <c r="AJ601" s="1449"/>
      <c r="AK601" s="1449"/>
      <c r="BA601" s="4" t="s">
        <v>30</v>
      </c>
      <c r="BB601" s="3"/>
      <c r="BC601" s="3"/>
      <c r="BD601" s="3"/>
      <c r="BE601" s="1480">
        <f t="shared" si="1"/>
        <v>1</v>
      </c>
      <c r="BF601" s="1482"/>
      <c r="BG601" s="1490">
        <f t="shared" si="2"/>
        <v>9</v>
      </c>
      <c r="BH601" s="1492"/>
      <c r="BI601" s="1480">
        <f t="shared" si="3"/>
        <v>0</v>
      </c>
      <c r="BJ601" s="1482"/>
      <c r="BK601" s="1490">
        <f t="shared" si="4"/>
        <v>0</v>
      </c>
      <c r="BL601" s="1492"/>
      <c r="BM601" s="3"/>
      <c r="BN601" s="1484">
        <f t="shared" si="5"/>
        <v>0</v>
      </c>
      <c r="BO601" s="1485"/>
      <c r="BP601" s="1485"/>
      <c r="BQ601" s="1485"/>
      <c r="BR601" s="1486"/>
      <c r="BS601" s="1483">
        <f t="shared" si="6"/>
        <v>0</v>
      </c>
      <c r="BT601" s="1483"/>
      <c r="BU601" s="1483"/>
      <c r="BV601" s="1483"/>
      <c r="BW601" s="1483"/>
      <c r="BX601" s="1483">
        <f t="shared" si="7"/>
        <v>9</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0</v>
      </c>
      <c r="CT601" s="1493"/>
      <c r="CU601" s="1493"/>
      <c r="CV601" s="1493"/>
      <c r="CW601" s="1493"/>
      <c r="CX601" s="1493">
        <f t="shared" si="12"/>
        <v>0</v>
      </c>
      <c r="CY601" s="1493"/>
      <c r="CZ601" s="1493"/>
      <c r="DA601" s="1493"/>
      <c r="DB601" s="1493"/>
      <c r="DC601" s="1493">
        <f t="shared" si="13"/>
        <v>0</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t="str">
        <f t="shared" si="17"/>
        <v/>
      </c>
      <c r="DY601" s="1481"/>
      <c r="DZ601" s="1481"/>
      <c r="EA601" s="1481"/>
      <c r="EB601" s="1482"/>
      <c r="EC601" s="1480" t="str">
        <f t="shared" si="18"/>
        <v/>
      </c>
      <c r="ED601" s="1481"/>
      <c r="EE601" s="1481"/>
      <c r="EF601" s="1481"/>
      <c r="EG601" s="1482"/>
      <c r="EH601" s="1480">
        <f t="shared" si="19"/>
        <v>969</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3.1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1</v>
      </c>
      <c r="BF602" s="1482"/>
      <c r="BG602" s="1490">
        <f t="shared" si="2"/>
        <v>12</v>
      </c>
      <c r="BH602" s="1492"/>
      <c r="BI602" s="1480">
        <f t="shared" si="3"/>
        <v>0</v>
      </c>
      <c r="BJ602" s="1482"/>
      <c r="BK602" s="1490">
        <f t="shared" si="4"/>
        <v>0</v>
      </c>
      <c r="BL602" s="1492"/>
      <c r="BM602" s="3"/>
      <c r="BN602" s="1484">
        <f t="shared" si="5"/>
        <v>0</v>
      </c>
      <c r="BO602" s="1485"/>
      <c r="BP602" s="1485"/>
      <c r="BQ602" s="1485"/>
      <c r="BR602" s="1486"/>
      <c r="BS602" s="1483">
        <f t="shared" si="6"/>
        <v>0</v>
      </c>
      <c r="BT602" s="1483"/>
      <c r="BU602" s="1483"/>
      <c r="BV602" s="1483"/>
      <c r="BW602" s="1483"/>
      <c r="BX602" s="1483">
        <f t="shared" si="7"/>
        <v>0</v>
      </c>
      <c r="BY602" s="1483"/>
      <c r="BZ602" s="1483"/>
      <c r="CA602" s="1483"/>
      <c r="CB602" s="1483"/>
      <c r="CC602" s="1483">
        <f t="shared" si="8"/>
        <v>12</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0</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t="str">
        <f t="shared" si="18"/>
        <v/>
      </c>
      <c r="ED602" s="1481"/>
      <c r="EE602" s="1481"/>
      <c r="EF602" s="1481"/>
      <c r="EG602" s="1482"/>
      <c r="EH602" s="1480" t="str">
        <f t="shared" si="19"/>
        <v/>
      </c>
      <c r="EI602" s="1481"/>
      <c r="EJ602" s="1481"/>
      <c r="EK602" s="1481"/>
      <c r="EL602" s="1482"/>
      <c r="EM602" s="1480">
        <f t="shared" si="20"/>
        <v>1111</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3.15" customHeight="1">
      <c r="A603" s="22"/>
      <c r="B603" t="s">
        <v>588</v>
      </c>
      <c r="G603" s="1404"/>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80">
        <f t="shared" si="1"/>
        <v>1</v>
      </c>
      <c r="BF603" s="1482"/>
      <c r="BG603" s="1490">
        <f t="shared" si="2"/>
        <v>12</v>
      </c>
      <c r="BH603" s="1492"/>
      <c r="BI603" s="1480">
        <f t="shared" si="3"/>
        <v>0</v>
      </c>
      <c r="BJ603" s="1482"/>
      <c r="BK603" s="1490">
        <f t="shared" si="4"/>
        <v>0</v>
      </c>
      <c r="BL603" s="1492"/>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12</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f t="shared" si="20"/>
        <v>1111</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3.1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0</v>
      </c>
      <c r="BF604" s="1482"/>
      <c r="BG604" s="1490">
        <f t="shared" si="2"/>
        <v>0</v>
      </c>
      <c r="BH604" s="1492"/>
      <c r="BI604" s="1480">
        <f t="shared" si="3"/>
        <v>0</v>
      </c>
      <c r="BJ604" s="1482"/>
      <c r="BK604" s="1490">
        <f t="shared" si="4"/>
        <v>0</v>
      </c>
      <c r="BL604" s="1492"/>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3.15" customHeight="1">
      <c r="A605" s="22"/>
      <c r="B605" t="s">
        <v>317</v>
      </c>
      <c r="C605"/>
      <c r="D605"/>
      <c r="E605"/>
      <c r="F605"/>
      <c r="G605" s="1474"/>
      <c r="H605" s="1474"/>
      <c r="I605" s="1474"/>
      <c r="J605" s="1474"/>
      <c r="K605" s="1474"/>
      <c r="L605" s="1474"/>
      <c r="M605"/>
      <c r="N605"/>
      <c r="O605" s="33" t="s">
        <v>207</v>
      </c>
      <c r="P605" s="1487"/>
      <c r="Q605" s="1487"/>
      <c r="R605" s="1487"/>
      <c r="S605"/>
      <c r="T605" s="22"/>
      <c r="U605" t="s">
        <v>317</v>
      </c>
      <c r="V605"/>
      <c r="W605"/>
      <c r="X605"/>
      <c r="Y605"/>
      <c r="Z605" s="1474"/>
      <c r="AA605" s="1474"/>
      <c r="AB605" s="1474"/>
      <c r="AC605" s="1474"/>
      <c r="AD605" s="1474"/>
      <c r="AE605" s="1474"/>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0</v>
      </c>
      <c r="BF605" s="1482"/>
      <c r="BG605" s="1490">
        <f t="shared" si="2"/>
        <v>0</v>
      </c>
      <c r="BH605" s="1492"/>
      <c r="BI605" s="1480">
        <f t="shared" si="3"/>
        <v>0</v>
      </c>
      <c r="BJ605" s="1482"/>
      <c r="BK605" s="1490">
        <f t="shared" si="4"/>
        <v>0</v>
      </c>
      <c r="BL605" s="1492"/>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0</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3.1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0</v>
      </c>
      <c r="BF606" s="1482"/>
      <c r="BG606" s="1490">
        <f t="shared" si="2"/>
        <v>0</v>
      </c>
      <c r="BH606" s="1492"/>
      <c r="BI606" s="1480">
        <f t="shared" si="3"/>
        <v>0</v>
      </c>
      <c r="BJ606" s="1482"/>
      <c r="BK606" s="1490">
        <f t="shared" si="4"/>
        <v>0</v>
      </c>
      <c r="BL606" s="1492"/>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0</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3.15" customHeight="1">
      <c r="A607" s="22"/>
      <c r="B607" t="s">
        <v>20</v>
      </c>
      <c r="C607"/>
      <c r="D607"/>
      <c r="E607"/>
      <c r="F607"/>
      <c r="G607"/>
      <c r="H607"/>
      <c r="I607"/>
      <c r="J607"/>
      <c r="K607"/>
      <c r="L607"/>
      <c r="M607"/>
      <c r="N607" s="1403" t="s">
        <v>677</v>
      </c>
      <c r="O607" s="1403"/>
      <c r="P607"/>
      <c r="Q607"/>
      <c r="R607"/>
      <c r="S607"/>
      <c r="T607" s="22"/>
      <c r="U607" t="s">
        <v>20</v>
      </c>
      <c r="V607"/>
      <c r="W607"/>
      <c r="X607"/>
      <c r="Y607"/>
      <c r="Z607"/>
      <c r="AA607"/>
      <c r="AB607"/>
      <c r="AC607"/>
      <c r="AD607"/>
      <c r="AE607"/>
      <c r="AF607"/>
      <c r="AG607" s="1403" t="s">
        <v>677</v>
      </c>
      <c r="AH607" s="1403"/>
      <c r="AI607"/>
      <c r="AJ607"/>
      <c r="AK607"/>
      <c r="AL607"/>
      <c r="AM607"/>
      <c r="AN607"/>
      <c r="AO607"/>
      <c r="AP607"/>
      <c r="AQ607"/>
      <c r="AR607"/>
      <c r="AS607"/>
      <c r="AT607"/>
      <c r="AU607"/>
      <c r="AV607"/>
      <c r="AW607"/>
      <c r="AX607"/>
      <c r="AY607"/>
      <c r="AZ607" s="3"/>
      <c r="BA607" s="3"/>
      <c r="BB607" s="3"/>
      <c r="BC607" s="3"/>
      <c r="BD607" s="3"/>
      <c r="BE607" s="1480">
        <f t="shared" si="1"/>
        <v>0</v>
      </c>
      <c r="BF607" s="1482"/>
      <c r="BG607" s="1490">
        <f t="shared" si="2"/>
        <v>0</v>
      </c>
      <c r="BH607" s="1492"/>
      <c r="BI607" s="1480">
        <f t="shared" si="3"/>
        <v>0</v>
      </c>
      <c r="BJ607" s="1482"/>
      <c r="BK607" s="1490">
        <f t="shared" si="4"/>
        <v>0</v>
      </c>
      <c r="BL607" s="1492"/>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3.15" customHeight="1">
      <c r="A608" s="22"/>
      <c r="T608" s="22"/>
      <c r="AZ608" s="3"/>
      <c r="BA608" s="3"/>
      <c r="BB608" s="3"/>
      <c r="BC608" s="3"/>
      <c r="BD608" s="3"/>
      <c r="BE608" s="1480">
        <f t="shared" si="1"/>
        <v>0</v>
      </c>
      <c r="BF608" s="1482"/>
      <c r="BG608" s="1490">
        <f t="shared" si="2"/>
        <v>0</v>
      </c>
      <c r="BH608" s="1492"/>
      <c r="BI608" s="1480">
        <f t="shared" si="3"/>
        <v>0</v>
      </c>
      <c r="BJ608" s="1482"/>
      <c r="BK608" s="1490">
        <f t="shared" si="4"/>
        <v>0</v>
      </c>
      <c r="BL608" s="1492"/>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3.15" customHeight="1">
      <c r="A609" s="55" t="s">
        <v>363</v>
      </c>
      <c r="B609" t="s">
        <v>471</v>
      </c>
      <c r="G609" s="1449">
        <f>C564</f>
        <v>0</v>
      </c>
      <c r="H609" s="1449"/>
      <c r="I609" s="1449"/>
      <c r="J609" s="1449"/>
      <c r="K609" s="1449"/>
      <c r="L609" s="1449"/>
      <c r="M609" s="1449"/>
      <c r="N609" s="1449"/>
      <c r="O609" s="1449"/>
      <c r="P609" s="1449"/>
      <c r="Q609" s="1449"/>
      <c r="R609" s="1449"/>
      <c r="T609" s="55" t="s">
        <v>364</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0</v>
      </c>
      <c r="BF609" s="1482"/>
      <c r="BG609" s="1490">
        <f t="shared" si="2"/>
        <v>0</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3.1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0</v>
      </c>
      <c r="BF610" s="1482"/>
      <c r="BG610" s="1490">
        <f t="shared" si="2"/>
        <v>0</v>
      </c>
      <c r="BH610" s="1492"/>
      <c r="BI610" s="1480">
        <f t="shared" si="3"/>
        <v>0</v>
      </c>
      <c r="BJ610" s="1482"/>
      <c r="BK610" s="1490">
        <f t="shared" si="4"/>
        <v>0</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3.15"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80">
        <f t="shared" si="1"/>
        <v>0</v>
      </c>
      <c r="BF611" s="1482"/>
      <c r="BG611" s="1490">
        <f t="shared" si="2"/>
        <v>0</v>
      </c>
      <c r="BH611" s="1492"/>
      <c r="BI611" s="1480">
        <f t="shared" si="3"/>
        <v>0</v>
      </c>
      <c r="BJ611" s="1482"/>
      <c r="BK611" s="1490">
        <f t="shared" si="4"/>
        <v>0</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3.1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0</v>
      </c>
      <c r="BF612" s="1482"/>
      <c r="BG612" s="1490">
        <f t="shared" si="2"/>
        <v>0</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3.15" customHeight="1">
      <c r="B613" t="s">
        <v>317</v>
      </c>
      <c r="G613" s="1474"/>
      <c r="H613" s="1474"/>
      <c r="I613" s="1474"/>
      <c r="J613" s="1474"/>
      <c r="K613" s="1474"/>
      <c r="L613" s="1474"/>
      <c r="O613" s="33" t="s">
        <v>207</v>
      </c>
      <c r="P613" s="1487"/>
      <c r="Q613" s="1487"/>
      <c r="R613" s="1487"/>
      <c r="U613" t="s">
        <v>317</v>
      </c>
      <c r="Z613" s="1474"/>
      <c r="AA613" s="1474"/>
      <c r="AB613" s="1474"/>
      <c r="AC613" s="1474"/>
      <c r="AD613" s="1474"/>
      <c r="AE613" s="1474"/>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3.1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0</v>
      </c>
      <c r="BJ614" s="1482"/>
      <c r="BK614" s="1490">
        <f t="shared" si="4"/>
        <v>0</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3.15" customHeight="1">
      <c r="B615" t="s">
        <v>20</v>
      </c>
      <c r="N615" s="1403" t="s">
        <v>677</v>
      </c>
      <c r="O615" s="1403"/>
      <c r="U615" t="s">
        <v>20</v>
      </c>
      <c r="AG615" s="1403" t="s">
        <v>677</v>
      </c>
      <c r="AH615" s="1403"/>
      <c r="AU615" s="934"/>
      <c r="AV615" s="934"/>
      <c r="AW615" s="934"/>
      <c r="AX615" s="934"/>
      <c r="AY615" s="934"/>
      <c r="AZ615" s="3"/>
      <c r="BA615" s="3"/>
      <c r="BB615" s="3"/>
      <c r="BC615" s="3"/>
      <c r="BD615" s="3"/>
      <c r="BE615" s="1480">
        <f t="shared" si="1"/>
        <v>0</v>
      </c>
      <c r="BF615" s="1482"/>
      <c r="BG615" s="1490">
        <f t="shared" si="2"/>
        <v>0</v>
      </c>
      <c r="BH615" s="1492"/>
      <c r="BI615" s="1480">
        <f t="shared" si="3"/>
        <v>0</v>
      </c>
      <c r="BJ615" s="1482"/>
      <c r="BK615" s="1490">
        <f t="shared" si="4"/>
        <v>0</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3.15" customHeight="1">
      <c r="AZ616" s="3"/>
      <c r="BA616" s="3"/>
      <c r="BB616" s="3"/>
      <c r="BC616" s="3"/>
      <c r="BD616" s="3"/>
      <c r="BE616" s="1480">
        <f t="shared" si="1"/>
        <v>0</v>
      </c>
      <c r="BF616" s="1482"/>
      <c r="BG616" s="1490">
        <f t="shared" si="2"/>
        <v>0</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3.1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490">
        <f t="shared" si="2"/>
        <v>0</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3.1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3.15"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3.15"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3.15"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3.15" customHeight="1">
      <c r="C622" s="2" t="s">
        <v>2420</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3.15"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3.15" customHeight="1">
      <c r="B624" s="1503" t="s">
        <v>2422</v>
      </c>
      <c r="C624" s="1503"/>
      <c r="D624" s="1503"/>
      <c r="E624" s="1503"/>
      <c r="F624" s="1503"/>
      <c r="G624" s="1503"/>
      <c r="H624" s="1503"/>
      <c r="I624" s="1503"/>
      <c r="J624" s="1503"/>
      <c r="K624" s="1503"/>
      <c r="L624" s="1503"/>
      <c r="M624" s="1463" t="s">
        <v>2423</v>
      </c>
      <c r="N624" s="1463"/>
      <c r="O624" s="1463"/>
      <c r="P624" s="1463"/>
      <c r="Q624" s="1463" t="s">
        <v>2044</v>
      </c>
      <c r="R624" s="1463"/>
      <c r="S624" s="1463"/>
      <c r="T624" s="1463" t="s">
        <v>2042</v>
      </c>
      <c r="U624" s="1463"/>
      <c r="V624" s="1463"/>
      <c r="W624" s="1465" t="s">
        <v>461</v>
      </c>
      <c r="X624" s="1465"/>
      <c r="Y624" s="1465"/>
      <c r="Z624" s="1497" t="s">
        <v>2452</v>
      </c>
      <c r="AA624" s="1497"/>
      <c r="AB624" s="1498"/>
      <c r="AC624" s="1706" t="s">
        <v>1865</v>
      </c>
      <c r="AD624" s="1707"/>
      <c r="AE624" s="1708"/>
      <c r="AF624" s="1631" t="s">
        <v>2231</v>
      </c>
      <c r="AG624" s="1497"/>
      <c r="AH624" s="1497"/>
      <c r="AI624" s="1497"/>
      <c r="AJ624" s="1498"/>
      <c r="AK624" s="1636" t="s">
        <v>2232</v>
      </c>
      <c r="AL624" s="1637"/>
      <c r="AM624" s="1637"/>
      <c r="AN624" s="1638"/>
      <c r="AO624" s="1463" t="s">
        <v>462</v>
      </c>
      <c r="AP624" s="1463"/>
      <c r="AQ624" s="1463"/>
      <c r="AR624" s="1463"/>
      <c r="AS624" s="1463"/>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3.15" customHeight="1">
      <c r="B625" s="1503"/>
      <c r="C625" s="1503"/>
      <c r="D625" s="1503"/>
      <c r="E625" s="1503"/>
      <c r="F625" s="1503"/>
      <c r="G625" s="1503"/>
      <c r="H625" s="1503"/>
      <c r="I625" s="1503"/>
      <c r="J625" s="1503"/>
      <c r="K625" s="1503"/>
      <c r="L625" s="1503"/>
      <c r="M625" s="1463"/>
      <c r="N625" s="1463"/>
      <c r="O625" s="1463"/>
      <c r="P625" s="1463"/>
      <c r="Q625" s="1463"/>
      <c r="R625" s="1463"/>
      <c r="S625" s="1463"/>
      <c r="T625" s="1463"/>
      <c r="U625" s="1463"/>
      <c r="V625" s="1463"/>
      <c r="W625" s="1465"/>
      <c r="X625" s="1465"/>
      <c r="Y625" s="1465"/>
      <c r="Z625" s="1499"/>
      <c r="AA625" s="1499"/>
      <c r="AB625" s="1500"/>
      <c r="AC625" s="1709"/>
      <c r="AD625" s="1710"/>
      <c r="AE625" s="1711"/>
      <c r="AF625" s="1632"/>
      <c r="AG625" s="1499"/>
      <c r="AH625" s="1499"/>
      <c r="AI625" s="1499"/>
      <c r="AJ625" s="1500"/>
      <c r="AK625" s="1639"/>
      <c r="AL625" s="1640"/>
      <c r="AM625" s="1640"/>
      <c r="AN625" s="1641"/>
      <c r="AO625" s="1463"/>
      <c r="AP625" s="1463"/>
      <c r="AQ625" s="1463"/>
      <c r="AR625" s="1463"/>
      <c r="AS625" s="1463"/>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3.15" customHeight="1">
      <c r="B626" s="1503"/>
      <c r="C626" s="1503"/>
      <c r="D626" s="1503"/>
      <c r="E626" s="1503"/>
      <c r="F626" s="1503"/>
      <c r="G626" s="1503"/>
      <c r="H626" s="1503"/>
      <c r="I626" s="1503"/>
      <c r="J626" s="1503"/>
      <c r="K626" s="1503"/>
      <c r="L626" s="1503"/>
      <c r="M626" s="1463"/>
      <c r="N626" s="1463"/>
      <c r="O626" s="1463"/>
      <c r="P626" s="1463"/>
      <c r="Q626" s="1463"/>
      <c r="R626" s="1463"/>
      <c r="S626" s="1463"/>
      <c r="T626" s="1463"/>
      <c r="U626" s="1463"/>
      <c r="V626" s="1463"/>
      <c r="W626" s="1465"/>
      <c r="X626" s="1465"/>
      <c r="Y626" s="1465"/>
      <c r="Z626" s="1501"/>
      <c r="AA626" s="1501"/>
      <c r="AB626" s="1502"/>
      <c r="AC626" s="1712"/>
      <c r="AD626" s="1713"/>
      <c r="AE626" s="1714"/>
      <c r="AF626" s="1633"/>
      <c r="AG626" s="1501"/>
      <c r="AH626" s="1501"/>
      <c r="AI626" s="1501"/>
      <c r="AJ626" s="1502"/>
      <c r="AK626" s="1642"/>
      <c r="AL626" s="1643"/>
      <c r="AM626" s="1643"/>
      <c r="AN626" s="1644"/>
      <c r="AO626" s="1463"/>
      <c r="AP626" s="1463"/>
      <c r="AQ626" s="1463"/>
      <c r="AR626" s="1463"/>
      <c r="AS626" s="1463"/>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3.15" customHeight="1">
      <c r="B627" s="51" t="s">
        <v>112</v>
      </c>
      <c r="C627" s="1462" t="s">
        <v>2769</v>
      </c>
      <c r="D627" s="1462"/>
      <c r="E627" s="1462"/>
      <c r="F627" s="1462"/>
      <c r="G627" s="1462"/>
      <c r="H627" s="1462"/>
      <c r="I627" s="1462"/>
      <c r="J627" s="1462"/>
      <c r="K627" s="1462"/>
      <c r="L627" s="1462"/>
      <c r="M627" s="1447" t="s">
        <v>2439</v>
      </c>
      <c r="N627" s="1447"/>
      <c r="O627" s="1447"/>
      <c r="P627" s="1447"/>
      <c r="Q627" s="1457">
        <f>17</f>
        <v>17</v>
      </c>
      <c r="R627" s="1457"/>
      <c r="S627" s="1458"/>
      <c r="T627" s="1456">
        <v>40</v>
      </c>
      <c r="U627" s="1457"/>
      <c r="V627" s="1458"/>
      <c r="W627" s="1453">
        <v>6.9620000000000001E-2</v>
      </c>
      <c r="X627" s="1454"/>
      <c r="Y627" s="1455"/>
      <c r="Z627" s="1494" t="s">
        <v>2451</v>
      </c>
      <c r="AA627" s="1495"/>
      <c r="AB627" s="1496"/>
      <c r="AC627" s="1450">
        <v>1</v>
      </c>
      <c r="AD627" s="1451"/>
      <c r="AE627" s="1452"/>
      <c r="AF627" s="1379">
        <v>471948</v>
      </c>
      <c r="AG627" s="1380"/>
      <c r="AH627" s="1380"/>
      <c r="AI627" s="1380"/>
      <c r="AJ627" s="1381"/>
      <c r="AK627" s="1459"/>
      <c r="AL627" s="1460"/>
      <c r="AM627" s="1460"/>
      <c r="AN627" s="1461"/>
      <c r="AO627" s="1504">
        <v>6337000</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3.15" customHeight="1">
      <c r="B628" s="52" t="s">
        <v>113</v>
      </c>
      <c r="C628" s="1462" t="s">
        <v>2750</v>
      </c>
      <c r="D628" s="1462"/>
      <c r="E628" s="1462"/>
      <c r="F628" s="1462"/>
      <c r="G628" s="1462"/>
      <c r="H628" s="1462"/>
      <c r="I628" s="1462"/>
      <c r="J628" s="1462"/>
      <c r="K628" s="1462"/>
      <c r="L628" s="1462"/>
      <c r="M628" s="1447" t="s">
        <v>2435</v>
      </c>
      <c r="N628" s="1447"/>
      <c r="O628" s="1447"/>
      <c r="P628" s="1447"/>
      <c r="Q628" s="1456">
        <v>55</v>
      </c>
      <c r="R628" s="1457"/>
      <c r="S628" s="1458"/>
      <c r="T628" s="1456"/>
      <c r="U628" s="1457"/>
      <c r="V628" s="1458"/>
      <c r="W628" s="1453">
        <v>0.03</v>
      </c>
      <c r="X628" s="1454"/>
      <c r="Y628" s="1455"/>
      <c r="Z628" s="1494" t="s">
        <v>465</v>
      </c>
      <c r="AA628" s="1495"/>
      <c r="AB628" s="1496"/>
      <c r="AC628" s="1450">
        <v>2</v>
      </c>
      <c r="AD628" s="1451"/>
      <c r="AE628" s="1452"/>
      <c r="AF628" s="1379">
        <v>47374</v>
      </c>
      <c r="AG628" s="1380"/>
      <c r="AH628" s="1380"/>
      <c r="AI628" s="1380"/>
      <c r="AJ628" s="1381"/>
      <c r="AK628" s="1459"/>
      <c r="AL628" s="1460"/>
      <c r="AM628" s="1460"/>
      <c r="AN628" s="1461"/>
      <c r="AO628" s="1394">
        <v>11279429</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3.15" customHeight="1">
      <c r="B629" s="52" t="s">
        <v>119</v>
      </c>
      <c r="C629" s="1462" t="s">
        <v>2793</v>
      </c>
      <c r="D629" s="1462"/>
      <c r="E629" s="1462"/>
      <c r="F629" s="1462"/>
      <c r="G629" s="1462"/>
      <c r="H629" s="1462"/>
      <c r="I629" s="1462"/>
      <c r="J629" s="1462"/>
      <c r="K629" s="1462"/>
      <c r="L629" s="1462"/>
      <c r="M629" s="1447" t="s">
        <v>2446</v>
      </c>
      <c r="N629" s="1447"/>
      <c r="O629" s="1447"/>
      <c r="P629" s="1447"/>
      <c r="Q629" s="1456">
        <v>55</v>
      </c>
      <c r="R629" s="1457"/>
      <c r="S629" s="1458"/>
      <c r="T629" s="1456"/>
      <c r="U629" s="1457"/>
      <c r="V629" s="1458"/>
      <c r="W629" s="1453"/>
      <c r="X629" s="1454"/>
      <c r="Y629" s="1455"/>
      <c r="Z629" s="1494" t="s">
        <v>301</v>
      </c>
      <c r="AA629" s="1495"/>
      <c r="AB629" s="1496"/>
      <c r="AC629" s="1450"/>
      <c r="AD629" s="1451"/>
      <c r="AE629" s="1452"/>
      <c r="AF629" s="1379"/>
      <c r="AG629" s="1380"/>
      <c r="AH629" s="1380"/>
      <c r="AI629" s="1380"/>
      <c r="AJ629" s="1381"/>
      <c r="AK629" s="1459"/>
      <c r="AL629" s="1460"/>
      <c r="AM629" s="1460"/>
      <c r="AN629" s="1461"/>
      <c r="AO629" s="1394">
        <v>1022368</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3.15" customHeight="1">
      <c r="B630" s="52" t="s">
        <v>589</v>
      </c>
      <c r="C630" s="1448" t="s">
        <v>2743</v>
      </c>
      <c r="D630" s="1448"/>
      <c r="E630" s="1448"/>
      <c r="F630" s="1448"/>
      <c r="G630" s="1448"/>
      <c r="H630" s="1448"/>
      <c r="I630" s="1448"/>
      <c r="J630" s="1448"/>
      <c r="K630" s="1448"/>
      <c r="L630" s="1448"/>
      <c r="M630" s="1447" t="s">
        <v>2435</v>
      </c>
      <c r="N630" s="1447"/>
      <c r="O630" s="1447"/>
      <c r="P630" s="1447"/>
      <c r="Q630" s="1456">
        <v>55</v>
      </c>
      <c r="R630" s="1457"/>
      <c r="S630" s="1458"/>
      <c r="T630" s="1456"/>
      <c r="U630" s="1457"/>
      <c r="V630" s="1458"/>
      <c r="W630" s="1453">
        <v>0.03</v>
      </c>
      <c r="X630" s="1454"/>
      <c r="Y630" s="1455"/>
      <c r="Z630" s="1494" t="s">
        <v>465</v>
      </c>
      <c r="AA630" s="1495"/>
      <c r="AB630" s="1496"/>
      <c r="AC630" s="1450"/>
      <c r="AD630" s="1451"/>
      <c r="AE630" s="1452"/>
      <c r="AF630" s="1379"/>
      <c r="AG630" s="1380"/>
      <c r="AH630" s="1380"/>
      <c r="AI630" s="1380"/>
      <c r="AJ630" s="1381"/>
      <c r="AK630" s="1459"/>
      <c r="AL630" s="1460"/>
      <c r="AM630" s="1460"/>
      <c r="AN630" s="1461"/>
      <c r="AO630" s="1394">
        <v>3000000</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3.15" customHeight="1">
      <c r="B631" s="52" t="s">
        <v>772</v>
      </c>
      <c r="C631" s="1448" t="s">
        <v>2744</v>
      </c>
      <c r="D631" s="1448"/>
      <c r="E631" s="1448"/>
      <c r="F631" s="1448"/>
      <c r="G631" s="1448"/>
      <c r="H631" s="1448"/>
      <c r="I631" s="1448"/>
      <c r="J631" s="1448"/>
      <c r="K631" s="1448"/>
      <c r="L631" s="1448"/>
      <c r="M631" s="1447" t="s">
        <v>2435</v>
      </c>
      <c r="N631" s="1447"/>
      <c r="O631" s="1447"/>
      <c r="P631" s="1447"/>
      <c r="Q631" s="1456">
        <v>55</v>
      </c>
      <c r="R631" s="1457"/>
      <c r="S631" s="1458"/>
      <c r="T631" s="1456"/>
      <c r="U631" s="1457"/>
      <c r="V631" s="1458"/>
      <c r="W631" s="1453">
        <v>0.03</v>
      </c>
      <c r="X631" s="1454"/>
      <c r="Y631" s="1455"/>
      <c r="Z631" s="1494" t="s">
        <v>465</v>
      </c>
      <c r="AA631" s="1495"/>
      <c r="AB631" s="1496"/>
      <c r="AC631" s="1450"/>
      <c r="AD631" s="1451"/>
      <c r="AE631" s="1452"/>
      <c r="AF631" s="1379"/>
      <c r="AG631" s="1380"/>
      <c r="AH631" s="1380"/>
      <c r="AI631" s="1380"/>
      <c r="AJ631" s="1381"/>
      <c r="AK631" s="1459"/>
      <c r="AL631" s="1460"/>
      <c r="AM631" s="1460"/>
      <c r="AN631" s="1461"/>
      <c r="AO631" s="1394">
        <v>450000</v>
      </c>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3.15" customHeight="1">
      <c r="B632" s="52" t="s">
        <v>592</v>
      </c>
      <c r="C632" s="1448" t="s">
        <v>2745</v>
      </c>
      <c r="D632" s="1448"/>
      <c r="E632" s="1448"/>
      <c r="F632" s="1448"/>
      <c r="G632" s="1448"/>
      <c r="H632" s="1448"/>
      <c r="I632" s="1448"/>
      <c r="J632" s="1448"/>
      <c r="K632" s="1448"/>
      <c r="L632" s="1448"/>
      <c r="M632" s="1447" t="s">
        <v>2435</v>
      </c>
      <c r="N632" s="1447"/>
      <c r="O632" s="1447"/>
      <c r="P632" s="1447"/>
      <c r="Q632" s="1456">
        <v>55</v>
      </c>
      <c r="R632" s="1457"/>
      <c r="S632" s="1458"/>
      <c r="T632" s="1456"/>
      <c r="U632" s="1457"/>
      <c r="V632" s="1458"/>
      <c r="W632" s="1453">
        <v>0.03</v>
      </c>
      <c r="X632" s="1454"/>
      <c r="Y632" s="1455"/>
      <c r="Z632" s="1494" t="s">
        <v>465</v>
      </c>
      <c r="AA632" s="1495"/>
      <c r="AB632" s="1496"/>
      <c r="AC632" s="1450"/>
      <c r="AD632" s="1451"/>
      <c r="AE632" s="1452"/>
      <c r="AF632" s="1379"/>
      <c r="AG632" s="1380"/>
      <c r="AH632" s="1380"/>
      <c r="AI632" s="1380"/>
      <c r="AJ632" s="1381"/>
      <c r="AK632" s="1459"/>
      <c r="AL632" s="1460"/>
      <c r="AM632" s="1460"/>
      <c r="AN632" s="1461"/>
      <c r="AO632" s="1394">
        <v>219892</v>
      </c>
      <c r="AP632" s="1395"/>
      <c r="AQ632" s="1395"/>
      <c r="AR632" s="1395"/>
      <c r="AS632" s="1396"/>
      <c r="AT632" s="1192" t="str">
        <f t="shared" si="23"/>
        <v/>
      </c>
      <c r="AU632" s="3"/>
      <c r="AZ632" s="3"/>
      <c r="BA632" s="3"/>
      <c r="BB632" s="3"/>
      <c r="BC632" s="3"/>
      <c r="BD632" s="3"/>
      <c r="BE632" s="3"/>
      <c r="BF632" s="3"/>
      <c r="BG632" s="1480">
        <f>SUM(BG597:BH631)</f>
        <v>33</v>
      </c>
      <c r="BH632" s="1482"/>
      <c r="BI632" s="3"/>
      <c r="BJ632" s="3"/>
      <c r="BK632" s="1480">
        <f>SUM(BK597:BL631)</f>
        <v>50</v>
      </c>
      <c r="BL632" s="1482"/>
      <c r="BM632" s="3"/>
      <c r="BN632" s="1480">
        <f>SUM(BN597:BR631)</f>
        <v>0</v>
      </c>
      <c r="BO632" s="1481"/>
      <c r="BP632" s="1481"/>
      <c r="BQ632" s="1481"/>
      <c r="BR632" s="1482"/>
      <c r="BS632" s="1489">
        <f>SUM(BS597:BW631)</f>
        <v>16</v>
      </c>
      <c r="BT632" s="1489"/>
      <c r="BU632" s="1489"/>
      <c r="BV632" s="1489"/>
      <c r="BW632" s="1489"/>
      <c r="BX632" s="1489">
        <f>SUM(BX597:CB631)</f>
        <v>39</v>
      </c>
      <c r="BY632" s="1489"/>
      <c r="BZ632" s="1489"/>
      <c r="CA632" s="1489"/>
      <c r="CB632" s="1489"/>
      <c r="CC632" s="1489">
        <f>SUM(CC597:CG631)</f>
        <v>28</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0</v>
      </c>
      <c r="CT632" s="1489"/>
      <c r="CU632" s="1489"/>
      <c r="CV632" s="1489"/>
      <c r="CW632" s="1489"/>
      <c r="CX632" s="1489">
        <f>SUM(CX597:DB631)</f>
        <v>16</v>
      </c>
      <c r="CY632" s="1489"/>
      <c r="CZ632" s="1489"/>
      <c r="DA632" s="1489"/>
      <c r="DB632" s="1489"/>
      <c r="DC632" s="1489">
        <f>SUM(DC597:DG631)</f>
        <v>30</v>
      </c>
      <c r="DD632" s="1489"/>
      <c r="DE632" s="1489"/>
      <c r="DF632" s="1489"/>
      <c r="DG632" s="1489"/>
      <c r="DH632" s="1489">
        <f>SUM(DH597:DL631)</f>
        <v>4</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0</v>
      </c>
      <c r="DY632" s="1489"/>
      <c r="DZ632" s="1489"/>
      <c r="EA632" s="1489"/>
      <c r="EB632" s="1489"/>
      <c r="EC632" s="1489">
        <f>SUM(EC597:EG631)</f>
        <v>466</v>
      </c>
      <c r="ED632" s="1489"/>
      <c r="EE632" s="1489"/>
      <c r="EF632" s="1489"/>
      <c r="EG632" s="1489"/>
      <c r="EH632" s="1489">
        <f>SUM(EH597:EL631)</f>
        <v>1519</v>
      </c>
      <c r="EI632" s="1489"/>
      <c r="EJ632" s="1489"/>
      <c r="EK632" s="1489"/>
      <c r="EL632" s="1489"/>
      <c r="EM632" s="1489">
        <f>SUM(EM597:EQ631)</f>
        <v>2849</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3.15" customHeight="1">
      <c r="B633" s="52" t="s">
        <v>463</v>
      </c>
      <c r="C633" s="1462" t="s">
        <v>1851</v>
      </c>
      <c r="D633" s="1448"/>
      <c r="E633" s="1448"/>
      <c r="F633" s="1448"/>
      <c r="G633" s="1448"/>
      <c r="H633" s="1448"/>
      <c r="I633" s="1448"/>
      <c r="J633" s="1448"/>
      <c r="K633" s="1448"/>
      <c r="L633" s="1448"/>
      <c r="M633" s="1447" t="s">
        <v>2426</v>
      </c>
      <c r="N633" s="1447"/>
      <c r="O633" s="1447"/>
      <c r="P633" s="1447"/>
      <c r="Q633" s="1456">
        <v>55</v>
      </c>
      <c r="R633" s="1457"/>
      <c r="S633" s="1458"/>
      <c r="T633" s="1456"/>
      <c r="U633" s="1457"/>
      <c r="V633" s="1458"/>
      <c r="W633" s="1453"/>
      <c r="X633" s="1454"/>
      <c r="Y633" s="1455"/>
      <c r="Z633" s="1494" t="s">
        <v>466</v>
      </c>
      <c r="AA633" s="1495"/>
      <c r="AB633" s="1496"/>
      <c r="AC633" s="1450"/>
      <c r="AD633" s="1451"/>
      <c r="AE633" s="1452"/>
      <c r="AF633" s="1379"/>
      <c r="AG633" s="1380"/>
      <c r="AH633" s="1380"/>
      <c r="AI633" s="1380"/>
      <c r="AJ633" s="1381"/>
      <c r="AK633" s="1459"/>
      <c r="AL633" s="1460"/>
      <c r="AM633" s="1460"/>
      <c r="AN633" s="1461"/>
      <c r="AO633" s="1394">
        <v>6130629</v>
      </c>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0">
        <f>BN632+BS632+BX632+CC632+CH632+CM632</f>
        <v>83</v>
      </c>
      <c r="CN633" s="1481"/>
      <c r="CO633" s="1481"/>
      <c r="CP633" s="1481"/>
      <c r="CQ633" s="1482"/>
      <c r="CR633" s="385"/>
      <c r="CS633" s="3"/>
      <c r="CT633" s="3"/>
      <c r="CU633" s="3"/>
      <c r="CV633" s="3"/>
      <c r="CW633" s="3"/>
      <c r="CX633" s="3"/>
      <c r="CY633" s="3"/>
      <c r="CZ633" s="3"/>
      <c r="DA633" s="3"/>
      <c r="DB633" s="3"/>
      <c r="DC633" s="3"/>
      <c r="DD633" s="3"/>
      <c r="DE633" s="3"/>
      <c r="DF633" s="3"/>
    </row>
    <row r="634" spans="2:157" ht="13.15" customHeight="1">
      <c r="B634" s="52" t="s">
        <v>464</v>
      </c>
      <c r="C634" s="1462" t="s">
        <v>2765</v>
      </c>
      <c r="D634" s="1448"/>
      <c r="E634" s="1448"/>
      <c r="F634" s="1448"/>
      <c r="G634" s="1448"/>
      <c r="H634" s="1448"/>
      <c r="I634" s="1448"/>
      <c r="J634" s="1448"/>
      <c r="K634" s="1448"/>
      <c r="L634" s="1448"/>
      <c r="M634" s="1447" t="s">
        <v>2429</v>
      </c>
      <c r="N634" s="1447"/>
      <c r="O634" s="1447"/>
      <c r="P634" s="1447"/>
      <c r="Q634" s="1456"/>
      <c r="R634" s="1457"/>
      <c r="S634" s="1458"/>
      <c r="T634" s="1456"/>
      <c r="U634" s="1457"/>
      <c r="V634" s="1458"/>
      <c r="W634" s="1453"/>
      <c r="X634" s="1454"/>
      <c r="Y634" s="1455"/>
      <c r="Z634" s="1494" t="s">
        <v>301</v>
      </c>
      <c r="AA634" s="1495"/>
      <c r="AB634" s="1496"/>
      <c r="AC634" s="1450"/>
      <c r="AD634" s="1451"/>
      <c r="AE634" s="1452"/>
      <c r="AF634" s="1379"/>
      <c r="AG634" s="1380"/>
      <c r="AH634" s="1380"/>
      <c r="AI634" s="1380"/>
      <c r="AJ634" s="1381"/>
      <c r="AK634" s="1459"/>
      <c r="AL634" s="1460"/>
      <c r="AM634" s="1460"/>
      <c r="AN634" s="1461"/>
      <c r="AO634" s="1394">
        <v>100</v>
      </c>
      <c r="AP634" s="1395"/>
      <c r="AQ634" s="1395"/>
      <c r="AR634" s="1395"/>
      <c r="AS634" s="139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16</v>
      </c>
      <c r="BX634" s="3"/>
      <c r="BY634" s="3"/>
      <c r="BZ634" s="3"/>
      <c r="CA634" s="3"/>
      <c r="CB634" s="895">
        <f>BX632*2</f>
        <v>78</v>
      </c>
      <c r="CC634" s="3"/>
      <c r="CD634" s="3"/>
      <c r="CE634" s="3"/>
      <c r="CF634" s="3"/>
      <c r="CG634" s="895">
        <f>CC632*3</f>
        <v>84</v>
      </c>
      <c r="CH634" s="3"/>
      <c r="CI634" s="3"/>
      <c r="CJ634" s="3"/>
      <c r="CK634" s="3"/>
      <c r="CL634" s="895">
        <f>CH632*4</f>
        <v>0</v>
      </c>
      <c r="CM634" s="3"/>
      <c r="CN634" s="3"/>
      <c r="CO634" s="3"/>
      <c r="CP634" s="3"/>
      <c r="CQ634" s="895">
        <f>CM632*5</f>
        <v>0</v>
      </c>
      <c r="CS634" s="895">
        <f>BR634+BW634+CB634+CG634+CL634+CQ634</f>
        <v>178</v>
      </c>
      <c r="CT634" s="57" t="s">
        <v>2054</v>
      </c>
      <c r="CU634" s="3"/>
      <c r="CV634" s="3"/>
      <c r="CW634" s="3"/>
      <c r="CX634" s="3"/>
      <c r="CY634" s="3"/>
      <c r="CZ634" s="3"/>
      <c r="DA634" s="3"/>
      <c r="DB634" s="3"/>
      <c r="DC634" s="3"/>
      <c r="DD634" s="3"/>
      <c r="DE634" s="3"/>
      <c r="DF634" s="3"/>
    </row>
    <row r="635" spans="2:157" ht="13.15" customHeight="1">
      <c r="B635" s="52" t="s">
        <v>469</v>
      </c>
      <c r="C635" s="1448"/>
      <c r="D635" s="1448"/>
      <c r="E635" s="1448"/>
      <c r="F635" s="1448"/>
      <c r="G635" s="1448"/>
      <c r="H635" s="1448"/>
      <c r="I635" s="1448"/>
      <c r="J635" s="1448"/>
      <c r="K635" s="1448"/>
      <c r="L635" s="1448"/>
      <c r="M635" s="1447" t="s">
        <v>1290</v>
      </c>
      <c r="N635" s="1447"/>
      <c r="O635" s="1447"/>
      <c r="P635" s="1447"/>
      <c r="Q635" s="1456"/>
      <c r="R635" s="1457"/>
      <c r="S635" s="1458"/>
      <c r="T635" s="1456"/>
      <c r="U635" s="1457"/>
      <c r="V635" s="1458"/>
      <c r="W635" s="1453"/>
      <c r="X635" s="1454"/>
      <c r="Y635" s="1455"/>
      <c r="Z635" s="1494" t="s">
        <v>1290</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t="e">
        <f>DX597*(BN597/$BN$632)</f>
        <v>#VALUE!</v>
      </c>
      <c r="DY635" s="1473"/>
      <c r="DZ635" s="1473"/>
      <c r="EA635" s="1473"/>
      <c r="EB635" s="1473"/>
      <c r="EC635" s="1473">
        <f t="shared" ref="EC635:EC657" si="24">EC597*(BS597/$BS$632)</f>
        <v>466</v>
      </c>
      <c r="ED635" s="1473"/>
      <c r="EE635" s="1473"/>
      <c r="EF635" s="1473"/>
      <c r="EG635" s="1473"/>
      <c r="EH635" s="1473" t="e">
        <f t="shared" ref="EH635:EH657" si="25">EH597*(BX597/$BX$632)</f>
        <v>#VALUE!</v>
      </c>
      <c r="EI635" s="1473"/>
      <c r="EJ635" s="1473"/>
      <c r="EK635" s="1473"/>
      <c r="EL635" s="1473"/>
      <c r="EM635" s="1473" t="e">
        <f t="shared" ref="EM635:EM657" si="26">EM597*(CC597/$CC$632)</f>
        <v>#VALUE!</v>
      </c>
      <c r="EN635" s="1473"/>
      <c r="EO635" s="1473"/>
      <c r="EP635" s="1473"/>
      <c r="EQ635" s="1473"/>
      <c r="ER635" s="1473" t="e">
        <f t="shared" ref="ER635:ER657" si="27">ER597*(CH597/$CH$632)</f>
        <v>#VALUE!</v>
      </c>
      <c r="ES635" s="1473"/>
      <c r="ET635" s="1473"/>
      <c r="EU635" s="1473"/>
      <c r="EV635" s="1473"/>
      <c r="EW635" s="1473" t="e">
        <f t="shared" ref="EW635:EW657" si="28">EW597*(CM597/$CM$632)</f>
        <v>#VALUE!</v>
      </c>
      <c r="EX635" s="1473"/>
      <c r="EY635" s="1473"/>
      <c r="EZ635" s="1473"/>
      <c r="FA635" s="1473"/>
    </row>
    <row r="636" spans="2:157" ht="13.15" customHeight="1">
      <c r="B636" s="52" t="s">
        <v>654</v>
      </c>
      <c r="C636" s="1448"/>
      <c r="D636" s="1448"/>
      <c r="E636" s="1448"/>
      <c r="F636" s="1448"/>
      <c r="G636" s="1448"/>
      <c r="H636" s="1448"/>
      <c r="I636" s="1448"/>
      <c r="J636" s="1448"/>
      <c r="K636" s="1448"/>
      <c r="L636" s="1448"/>
      <c r="M636" s="1447" t="s">
        <v>1290</v>
      </c>
      <c r="N636" s="1447"/>
      <c r="O636" s="1447"/>
      <c r="P636" s="1447"/>
      <c r="Q636" s="1456"/>
      <c r="R636" s="1457"/>
      <c r="S636" s="1458"/>
      <c r="T636" s="1456"/>
      <c r="U636" s="1457"/>
      <c r="V636" s="1458"/>
      <c r="W636" s="1453"/>
      <c r="X636" s="1454"/>
      <c r="Y636" s="1455"/>
      <c r="Z636" s="1494" t="s">
        <v>1290</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t="e">
        <f t="shared" ref="DX636:DX657" si="29">DX598*(BN598/$BN$632)</f>
        <v>#VALUE!</v>
      </c>
      <c r="DY636" s="1473"/>
      <c r="DZ636" s="1473"/>
      <c r="EA636" s="1473"/>
      <c r="EB636" s="1473"/>
      <c r="EC636" s="1473" t="e">
        <f t="shared" si="24"/>
        <v>#VALUE!</v>
      </c>
      <c r="ED636" s="1473"/>
      <c r="EE636" s="1473"/>
      <c r="EF636" s="1473"/>
      <c r="EG636" s="1473"/>
      <c r="EH636" s="1473">
        <f t="shared" si="25"/>
        <v>423.07692307692309</v>
      </c>
      <c r="EI636" s="1473"/>
      <c r="EJ636" s="1473"/>
      <c r="EK636" s="1473"/>
      <c r="EL636" s="1473"/>
      <c r="EM636" s="1473" t="e">
        <f t="shared" si="26"/>
        <v>#VALUE!</v>
      </c>
      <c r="EN636" s="1473"/>
      <c r="EO636" s="1473"/>
      <c r="EP636" s="1473"/>
      <c r="EQ636" s="1473"/>
      <c r="ER636" s="1473" t="e">
        <f t="shared" si="27"/>
        <v>#VALUE!</v>
      </c>
      <c r="ES636" s="1473"/>
      <c r="ET636" s="1473"/>
      <c r="EU636" s="1473"/>
      <c r="EV636" s="1473"/>
      <c r="EW636" s="1473" t="e">
        <f t="shared" si="28"/>
        <v>#VALUE!</v>
      </c>
      <c r="EX636" s="1473"/>
      <c r="EY636" s="1473"/>
      <c r="EZ636" s="1473"/>
      <c r="FA636" s="1473"/>
    </row>
    <row r="637" spans="2:157" ht="13.15" customHeight="1">
      <c r="B637" s="52" t="s">
        <v>363</v>
      </c>
      <c r="C637" s="1448"/>
      <c r="D637" s="1448"/>
      <c r="E637" s="1448"/>
      <c r="F637" s="1448"/>
      <c r="G637" s="1448"/>
      <c r="H637" s="1448"/>
      <c r="I637" s="1448"/>
      <c r="J637" s="1448"/>
      <c r="K637" s="1448"/>
      <c r="L637" s="1448"/>
      <c r="M637" s="1447" t="s">
        <v>1290</v>
      </c>
      <c r="N637" s="1447"/>
      <c r="O637" s="1447"/>
      <c r="P637" s="1447"/>
      <c r="Q637" s="1456"/>
      <c r="R637" s="1457"/>
      <c r="S637" s="1458"/>
      <c r="T637" s="1456"/>
      <c r="U637" s="1457"/>
      <c r="V637" s="1458"/>
      <c r="W637" s="1453"/>
      <c r="X637" s="1454"/>
      <c r="Y637" s="1455"/>
      <c r="Z637" s="1494" t="s">
        <v>1290</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1</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3" t="e">
        <f t="shared" si="29"/>
        <v>#VALUE!</v>
      </c>
      <c r="DY637" s="1473"/>
      <c r="DZ637" s="1473"/>
      <c r="EA637" s="1473"/>
      <c r="EB637" s="1473"/>
      <c r="EC637" s="1473" t="e">
        <f t="shared" si="24"/>
        <v>#VALUE!</v>
      </c>
      <c r="ED637" s="1473"/>
      <c r="EE637" s="1473"/>
      <c r="EF637" s="1473"/>
      <c r="EG637" s="1473"/>
      <c r="EH637" s="1473" t="e">
        <f t="shared" si="25"/>
        <v>#VALUE!</v>
      </c>
      <c r="EI637" s="1473"/>
      <c r="EJ637" s="1473"/>
      <c r="EK637" s="1473"/>
      <c r="EL637" s="1473"/>
      <c r="EM637" s="1473">
        <f t="shared" si="26"/>
        <v>89.571428571428569</v>
      </c>
      <c r="EN637" s="1473"/>
      <c r="EO637" s="1473"/>
      <c r="EP637" s="1473"/>
      <c r="EQ637" s="1473"/>
      <c r="ER637" s="1473" t="e">
        <f t="shared" si="27"/>
        <v>#VALUE!</v>
      </c>
      <c r="ES637" s="1473"/>
      <c r="ET637" s="1473"/>
      <c r="EU637" s="1473"/>
      <c r="EV637" s="1473"/>
      <c r="EW637" s="1473" t="e">
        <f t="shared" si="28"/>
        <v>#VALUE!</v>
      </c>
      <c r="EX637" s="1473"/>
      <c r="EY637" s="1473"/>
      <c r="EZ637" s="1473"/>
      <c r="FA637" s="1473"/>
    </row>
    <row r="638" spans="2:157" ht="13.15" customHeight="1">
      <c r="B638" s="52" t="s">
        <v>364</v>
      </c>
      <c r="C638" s="1448"/>
      <c r="D638" s="1448"/>
      <c r="E638" s="1448"/>
      <c r="F638" s="1448"/>
      <c r="G638" s="1448"/>
      <c r="H638" s="1448"/>
      <c r="I638" s="1448"/>
      <c r="J638" s="1448"/>
      <c r="K638" s="1448"/>
      <c r="L638" s="1448"/>
      <c r="M638" s="1447" t="s">
        <v>1290</v>
      </c>
      <c r="N638" s="1447"/>
      <c r="O638" s="1447"/>
      <c r="P638" s="1447"/>
      <c r="Q638" s="1456"/>
      <c r="R638" s="1457"/>
      <c r="S638" s="1458"/>
      <c r="T638" s="1456"/>
      <c r="U638" s="1457"/>
      <c r="V638" s="1458"/>
      <c r="W638" s="1453"/>
      <c r="X638" s="1454"/>
      <c r="Y638" s="1455"/>
      <c r="Z638" s="1494" t="s">
        <v>1290</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3" t="e">
        <f t="shared" si="29"/>
        <v>#VALUE!</v>
      </c>
      <c r="DY638" s="1473"/>
      <c r="DZ638" s="1473"/>
      <c r="EA638" s="1473"/>
      <c r="EB638" s="1473"/>
      <c r="EC638" s="1473" t="e">
        <f t="shared" si="24"/>
        <v>#VALUE!</v>
      </c>
      <c r="ED638" s="1473"/>
      <c r="EE638" s="1473"/>
      <c r="EF638" s="1473"/>
      <c r="EG638" s="1473"/>
      <c r="EH638" s="1473" t="e">
        <f t="shared" si="25"/>
        <v>#VALUE!</v>
      </c>
      <c r="EI638" s="1473"/>
      <c r="EJ638" s="1473"/>
      <c r="EK638" s="1473"/>
      <c r="EL638" s="1473"/>
      <c r="EM638" s="1473" t="e">
        <f t="shared" si="26"/>
        <v>#VALUE!</v>
      </c>
      <c r="EN638" s="1473"/>
      <c r="EO638" s="1473"/>
      <c r="EP638" s="1473"/>
      <c r="EQ638" s="1473"/>
      <c r="ER638" s="1473" t="e">
        <f t="shared" si="27"/>
        <v>#VALUE!</v>
      </c>
      <c r="ES638" s="1473"/>
      <c r="ET638" s="1473"/>
      <c r="EU638" s="1473"/>
      <c r="EV638" s="1473"/>
      <c r="EW638" s="1473" t="e">
        <f t="shared" si="28"/>
        <v>#VALUE!</v>
      </c>
      <c r="EX638" s="1473"/>
      <c r="EY638" s="1473"/>
      <c r="EZ638" s="1473"/>
      <c r="FA638" s="1473"/>
    </row>
    <row r="639" spans="2:157" ht="13.1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28439418</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3" t="e">
        <f t="shared" si="29"/>
        <v>#VALUE!</v>
      </c>
      <c r="DY639" s="1473"/>
      <c r="DZ639" s="1473"/>
      <c r="EA639" s="1473"/>
      <c r="EB639" s="1473"/>
      <c r="EC639" s="1473" t="e">
        <f t="shared" si="24"/>
        <v>#VALUE!</v>
      </c>
      <c r="ED639" s="1473"/>
      <c r="EE639" s="1473"/>
      <c r="EF639" s="1473"/>
      <c r="EG639" s="1473"/>
      <c r="EH639" s="1473">
        <f t="shared" si="25"/>
        <v>223.61538461538464</v>
      </c>
      <c r="EI639" s="1473"/>
      <c r="EJ639" s="1473"/>
      <c r="EK639" s="1473"/>
      <c r="EL639" s="1473"/>
      <c r="EM639" s="1473" t="e">
        <f t="shared" si="26"/>
        <v>#VALUE!</v>
      </c>
      <c r="EN639" s="1473"/>
      <c r="EO639" s="1473"/>
      <c r="EP639" s="1473"/>
      <c r="EQ639" s="1473"/>
      <c r="ER639" s="1473" t="e">
        <f t="shared" si="27"/>
        <v>#VALUE!</v>
      </c>
      <c r="ES639" s="1473"/>
      <c r="ET639" s="1473"/>
      <c r="EU639" s="1473"/>
      <c r="EV639" s="1473"/>
      <c r="EW639" s="1473" t="e">
        <f t="shared" si="28"/>
        <v>#VALUE!</v>
      </c>
      <c r="EX639" s="1473"/>
      <c r="EY639" s="1473"/>
      <c r="EZ639" s="1473"/>
      <c r="FA639" s="1473"/>
    </row>
    <row r="640" spans="2:157" ht="13.15"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v>33173905</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3" t="e">
        <f t="shared" si="29"/>
        <v>#VALUE!</v>
      </c>
      <c r="DY640" s="1473"/>
      <c r="DZ640" s="1473"/>
      <c r="EA640" s="1473"/>
      <c r="EB640" s="1473"/>
      <c r="EC640" s="1473" t="e">
        <f t="shared" si="24"/>
        <v>#VALUE!</v>
      </c>
      <c r="ED640" s="1473"/>
      <c r="EE640" s="1473"/>
      <c r="EF640" s="1473"/>
      <c r="EG640" s="1473"/>
      <c r="EH640" s="1473" t="e">
        <f t="shared" si="25"/>
        <v>#VALUE!</v>
      </c>
      <c r="EI640" s="1473"/>
      <c r="EJ640" s="1473"/>
      <c r="EK640" s="1473"/>
      <c r="EL640" s="1473"/>
      <c r="EM640" s="1473">
        <f t="shared" si="26"/>
        <v>476.14285714285711</v>
      </c>
      <c r="EN640" s="1473"/>
      <c r="EO640" s="1473"/>
      <c r="EP640" s="1473"/>
      <c r="EQ640" s="1473"/>
      <c r="ER640" s="1473" t="e">
        <f t="shared" si="27"/>
        <v>#VALUE!</v>
      </c>
      <c r="ES640" s="1473"/>
      <c r="ET640" s="1473"/>
      <c r="EU640" s="1473"/>
      <c r="EV640" s="1473"/>
      <c r="EW640" s="1473" t="e">
        <f t="shared" si="28"/>
        <v>#VALUE!</v>
      </c>
      <c r="EX640" s="1473"/>
      <c r="EY640" s="1473"/>
      <c r="EZ640" s="1473"/>
      <c r="FA640" s="1473"/>
    </row>
    <row r="641" spans="1:157" ht="13.15" customHeight="1">
      <c r="B641" s="1759" t="s">
        <v>269</v>
      </c>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705"/>
      <c r="AJ641" s="1705"/>
      <c r="AK641" s="1705"/>
      <c r="AL641" s="1705"/>
      <c r="AM641" s="1705"/>
      <c r="AN641" s="1760"/>
      <c r="AO641" s="1364">
        <f>AO639+AO640</f>
        <v>61613323</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77">
        <f>SUM(BS637:BW640)</f>
        <v>0</v>
      </c>
      <c r="BT641" s="1478"/>
      <c r="BU641" s="1478"/>
      <c r="BV641" s="1478"/>
      <c r="BW641" s="1479"/>
      <c r="BX641" s="1477">
        <f>SUM(BX637:CB640)</f>
        <v>1</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1</v>
      </c>
      <c r="CT641" s="57" t="s">
        <v>2051</v>
      </c>
      <c r="CU641" s="3"/>
      <c r="CV641" s="3"/>
      <c r="CW641" s="3"/>
      <c r="CX641" s="3"/>
      <c r="CY641" s="3"/>
      <c r="CZ641" s="3"/>
      <c r="DA641" s="3"/>
      <c r="DB641" s="3"/>
      <c r="DC641" s="3"/>
      <c r="DD641" s="3"/>
      <c r="DE641" s="3"/>
      <c r="DF641" s="3"/>
      <c r="DX641" s="1473" t="e">
        <f t="shared" si="29"/>
        <v>#VALUE!</v>
      </c>
      <c r="DY641" s="1473"/>
      <c r="DZ641" s="1473"/>
      <c r="EA641" s="1473"/>
      <c r="EB641" s="1473"/>
      <c r="EC641" s="1473" t="e">
        <f t="shared" si="24"/>
        <v>#VALUE!</v>
      </c>
      <c r="ED641" s="1473"/>
      <c r="EE641" s="1473"/>
      <c r="EF641" s="1473"/>
      <c r="EG641" s="1473"/>
      <c r="EH641" s="1473" t="e">
        <f t="shared" si="25"/>
        <v>#VALUE!</v>
      </c>
      <c r="EI641" s="1473"/>
      <c r="EJ641" s="1473"/>
      <c r="EK641" s="1473"/>
      <c r="EL641" s="1473"/>
      <c r="EM641" s="1473">
        <f t="shared" si="26"/>
        <v>476.14285714285711</v>
      </c>
      <c r="EN641" s="1473"/>
      <c r="EO641" s="1473"/>
      <c r="EP641" s="1473"/>
      <c r="EQ641" s="1473"/>
      <c r="ER641" s="1473" t="e">
        <f t="shared" si="27"/>
        <v>#VALUE!</v>
      </c>
      <c r="ES641" s="1473"/>
      <c r="ET641" s="1473"/>
      <c r="EU641" s="1473"/>
      <c r="EV641" s="1473"/>
      <c r="EW641" s="1473" t="e">
        <f t="shared" si="28"/>
        <v>#VALUE!</v>
      </c>
      <c r="EX641" s="1473"/>
      <c r="EY641" s="1473"/>
      <c r="EZ641" s="1473"/>
      <c r="FA641" s="1473"/>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3" t="e">
        <f t="shared" si="29"/>
        <v>#VALUE!</v>
      </c>
      <c r="DY642" s="1473"/>
      <c r="DZ642" s="1473"/>
      <c r="EA642" s="1473"/>
      <c r="EB642" s="1473"/>
      <c r="EC642" s="1473" t="e">
        <f t="shared" si="24"/>
        <v>#VALUE!</v>
      </c>
      <c r="ED642" s="1473"/>
      <c r="EE642" s="1473"/>
      <c r="EF642" s="1473"/>
      <c r="EG642" s="1473"/>
      <c r="EH642" s="1473" t="e">
        <f t="shared" si="25"/>
        <v>#VALUE!</v>
      </c>
      <c r="EI642" s="1473"/>
      <c r="EJ642" s="1473"/>
      <c r="EK642" s="1473"/>
      <c r="EL642" s="1473"/>
      <c r="EM642" s="1473" t="e">
        <f t="shared" si="26"/>
        <v>#VALUE!</v>
      </c>
      <c r="EN642" s="1473"/>
      <c r="EO642" s="1473"/>
      <c r="EP642" s="1473"/>
      <c r="EQ642" s="1473"/>
      <c r="ER642" s="1473" t="e">
        <f t="shared" si="27"/>
        <v>#VALUE!</v>
      </c>
      <c r="ES642" s="1473"/>
      <c r="ET642" s="1473"/>
      <c r="EU642" s="1473"/>
      <c r="EV642" s="1473"/>
      <c r="EW642" s="1473" t="e">
        <f t="shared" si="28"/>
        <v>#VALUE!</v>
      </c>
      <c r="EX642" s="1473"/>
      <c r="EY642" s="1473"/>
      <c r="EZ642" s="1473"/>
      <c r="FA642" s="1473"/>
    </row>
    <row r="643" spans="1:157" ht="13.15" customHeight="1">
      <c r="A643" s="55" t="s">
        <v>112</v>
      </c>
      <c r="B643" t="s">
        <v>471</v>
      </c>
      <c r="G643" s="1449" t="str">
        <f>C627</f>
        <v>CCRC Bank</v>
      </c>
      <c r="H643" s="1449"/>
      <c r="I643" s="1449"/>
      <c r="J643" s="1449"/>
      <c r="K643" s="1449"/>
      <c r="L643" s="1449"/>
      <c r="M643" s="1449"/>
      <c r="N643" s="1449"/>
      <c r="O643" s="1449"/>
      <c r="P643" s="1449"/>
      <c r="Q643" s="1449"/>
      <c r="R643" s="1449"/>
      <c r="S643" s="8"/>
      <c r="T643" s="55" t="s">
        <v>113</v>
      </c>
      <c r="U643" t="s">
        <v>471</v>
      </c>
      <c r="Z643" s="1449" t="str">
        <f>C628</f>
        <v>HCD - NPLH</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29"/>
        <v>#VALUE!</v>
      </c>
      <c r="DY643" s="1473"/>
      <c r="DZ643" s="1473"/>
      <c r="EA643" s="1473"/>
      <c r="EB643" s="1473"/>
      <c r="EC643" s="1473" t="e">
        <f t="shared" si="24"/>
        <v>#VALUE!</v>
      </c>
      <c r="ED643" s="1473"/>
      <c r="EE643" s="1473"/>
      <c r="EF643" s="1473"/>
      <c r="EG643" s="1473"/>
      <c r="EH643" s="1473" t="e">
        <f t="shared" si="25"/>
        <v>#VALUE!</v>
      </c>
      <c r="EI643" s="1473"/>
      <c r="EJ643" s="1473"/>
      <c r="EK643" s="1473"/>
      <c r="EL643" s="1473"/>
      <c r="EM643" s="1473" t="e">
        <f t="shared" si="26"/>
        <v>#VALUE!</v>
      </c>
      <c r="EN643" s="1473"/>
      <c r="EO643" s="1473"/>
      <c r="EP643" s="1473"/>
      <c r="EQ643" s="1473"/>
      <c r="ER643" s="1473" t="e">
        <f t="shared" si="27"/>
        <v>#VALUE!</v>
      </c>
      <c r="ES643" s="1473"/>
      <c r="ET643" s="1473"/>
      <c r="EU643" s="1473"/>
      <c r="EV643" s="1473"/>
      <c r="EW643" s="1473" t="e">
        <f t="shared" si="28"/>
        <v>#VALUE!</v>
      </c>
      <c r="EX643" s="1473"/>
      <c r="EY643" s="1473"/>
      <c r="EZ643" s="1473"/>
      <c r="FA643" s="1473"/>
    </row>
    <row r="644" spans="1:157" ht="13.15" customHeight="1">
      <c r="A644" s="22"/>
      <c r="B644" t="s">
        <v>85</v>
      </c>
      <c r="G644" s="1404" t="s">
        <v>2780</v>
      </c>
      <c r="H644" s="1404"/>
      <c r="I644" s="1404"/>
      <c r="J644" s="1404"/>
      <c r="K644" s="1404"/>
      <c r="L644" s="1404"/>
      <c r="M644" s="1404"/>
      <c r="N644" s="1404"/>
      <c r="O644" s="1404"/>
      <c r="P644" s="1404"/>
      <c r="Q644" s="1404"/>
      <c r="R644" s="1404"/>
      <c r="S644" s="8"/>
      <c r="T644" s="22"/>
      <c r="U644" t="s">
        <v>85</v>
      </c>
      <c r="Z644" s="1404" t="s">
        <v>2784</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3" t="e">
        <f t="shared" si="29"/>
        <v>#VALUE!</v>
      </c>
      <c r="DY644" s="1473"/>
      <c r="DZ644" s="1473"/>
      <c r="EA644" s="1473"/>
      <c r="EB644" s="1473"/>
      <c r="EC644" s="1473" t="e">
        <f t="shared" si="24"/>
        <v>#VALUE!</v>
      </c>
      <c r="ED644" s="1473"/>
      <c r="EE644" s="1473"/>
      <c r="EF644" s="1473"/>
      <c r="EG644" s="1473"/>
      <c r="EH644" s="1473" t="e">
        <f t="shared" si="25"/>
        <v>#VALUE!</v>
      </c>
      <c r="EI644" s="1473"/>
      <c r="EJ644" s="1473"/>
      <c r="EK644" s="1473"/>
      <c r="EL644" s="1473"/>
      <c r="EM644" s="1473" t="e">
        <f t="shared" si="26"/>
        <v>#VALUE!</v>
      </c>
      <c r="EN644" s="1473"/>
      <c r="EO644" s="1473"/>
      <c r="EP644" s="1473"/>
      <c r="EQ644" s="1473"/>
      <c r="ER644" s="1473" t="e">
        <f t="shared" si="27"/>
        <v>#VALUE!</v>
      </c>
      <c r="ES644" s="1473"/>
      <c r="ET644" s="1473"/>
      <c r="EU644" s="1473"/>
      <c r="EV644" s="1473"/>
      <c r="EW644" s="1473" t="e">
        <f t="shared" si="28"/>
        <v>#VALUE!</v>
      </c>
      <c r="EX644" s="1473"/>
      <c r="EY644" s="1473"/>
      <c r="EZ644" s="1473"/>
      <c r="FA644" s="1473"/>
    </row>
    <row r="645" spans="1:157" ht="13.15" customHeight="1">
      <c r="A645" s="22"/>
      <c r="B645" t="s">
        <v>588</v>
      </c>
      <c r="G645" s="1404" t="s">
        <v>502</v>
      </c>
      <c r="H645" s="1404"/>
      <c r="I645" s="1404"/>
      <c r="J645" s="1404"/>
      <c r="K645" s="1404"/>
      <c r="L645" s="1404"/>
      <c r="M645" s="1404"/>
      <c r="N645" s="1404"/>
      <c r="O645" s="1404"/>
      <c r="P645" s="1404"/>
      <c r="Q645" s="1404"/>
      <c r="R645" s="1404"/>
      <c r="T645" s="22"/>
      <c r="U645" t="s">
        <v>588</v>
      </c>
      <c r="Z645" s="1405" t="s">
        <v>2785</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3" t="e">
        <f t="shared" si="29"/>
        <v>#VALUE!</v>
      </c>
      <c r="DY645" s="1473"/>
      <c r="DZ645" s="1473"/>
      <c r="EA645" s="1473"/>
      <c r="EB645" s="1473"/>
      <c r="EC645" s="1473" t="e">
        <f t="shared" si="24"/>
        <v>#VALUE!</v>
      </c>
      <c r="ED645" s="1473"/>
      <c r="EE645" s="1473"/>
      <c r="EF645" s="1473"/>
      <c r="EG645" s="1473"/>
      <c r="EH645" s="1473" t="e">
        <f t="shared" si="25"/>
        <v>#VALUE!</v>
      </c>
      <c r="EI645" s="1473"/>
      <c r="EJ645" s="1473"/>
      <c r="EK645" s="1473"/>
      <c r="EL645" s="1473"/>
      <c r="EM645" s="1473" t="e">
        <f t="shared" si="26"/>
        <v>#VALUE!</v>
      </c>
      <c r="EN645" s="1473"/>
      <c r="EO645" s="1473"/>
      <c r="EP645" s="1473"/>
      <c r="EQ645" s="1473"/>
      <c r="ER645" s="1473" t="e">
        <f t="shared" si="27"/>
        <v>#VALUE!</v>
      </c>
      <c r="ES645" s="1473"/>
      <c r="ET645" s="1473"/>
      <c r="EU645" s="1473"/>
      <c r="EV645" s="1473"/>
      <c r="EW645" s="1473" t="e">
        <f t="shared" si="28"/>
        <v>#VALUE!</v>
      </c>
      <c r="EX645" s="1473"/>
      <c r="EY645" s="1473"/>
      <c r="EZ645" s="1473"/>
      <c r="FA645" s="1473"/>
    </row>
    <row r="646" spans="1:157" ht="13.15" customHeight="1">
      <c r="A646" s="22"/>
      <c r="B646" t="s">
        <v>17</v>
      </c>
      <c r="G646" s="1404" t="s">
        <v>2782</v>
      </c>
      <c r="H646" s="1404"/>
      <c r="I646" s="1404"/>
      <c r="J646" s="1404"/>
      <c r="K646" s="1404"/>
      <c r="L646" s="1404"/>
      <c r="M646" s="1404"/>
      <c r="N646" s="1404"/>
      <c r="O646" s="1404"/>
      <c r="P646" s="1404"/>
      <c r="Q646" s="1404"/>
      <c r="R646" s="1404"/>
      <c r="S646" s="8"/>
      <c r="T646" s="22"/>
      <c r="U646" t="s">
        <v>17</v>
      </c>
      <c r="Z646" s="1405" t="s">
        <v>2786</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3" t="e">
        <f t="shared" si="29"/>
        <v>#VALUE!</v>
      </c>
      <c r="DY646" s="1473"/>
      <c r="DZ646" s="1473"/>
      <c r="EA646" s="1473"/>
      <c r="EB646" s="1473"/>
      <c r="EC646" s="1473" t="e">
        <f t="shared" si="24"/>
        <v>#VALUE!</v>
      </c>
      <c r="ED646" s="1473"/>
      <c r="EE646" s="1473"/>
      <c r="EF646" s="1473"/>
      <c r="EG646" s="1473"/>
      <c r="EH646" s="1473" t="e">
        <f t="shared" si="25"/>
        <v>#VALUE!</v>
      </c>
      <c r="EI646" s="1473"/>
      <c r="EJ646" s="1473"/>
      <c r="EK646" s="1473"/>
      <c r="EL646" s="1473"/>
      <c r="EM646" s="1473" t="e">
        <f t="shared" si="26"/>
        <v>#VALUE!</v>
      </c>
      <c r="EN646" s="1473"/>
      <c r="EO646" s="1473"/>
      <c r="EP646" s="1473"/>
      <c r="EQ646" s="1473"/>
      <c r="ER646" s="1473" t="e">
        <f t="shared" si="27"/>
        <v>#VALUE!</v>
      </c>
      <c r="ES646" s="1473"/>
      <c r="ET646" s="1473"/>
      <c r="EU646" s="1473"/>
      <c r="EV646" s="1473"/>
      <c r="EW646" s="1473" t="e">
        <f t="shared" si="28"/>
        <v>#VALUE!</v>
      </c>
      <c r="EX646" s="1473"/>
      <c r="EY646" s="1473"/>
      <c r="EZ646" s="1473"/>
      <c r="FA646" s="1473"/>
    </row>
    <row r="647" spans="1:157" ht="13.15" customHeight="1">
      <c r="A647" s="22"/>
      <c r="B647" t="s">
        <v>317</v>
      </c>
      <c r="G647" s="1715" t="s">
        <v>2781</v>
      </c>
      <c r="H647" s="1474"/>
      <c r="I647" s="1474"/>
      <c r="J647" s="1474"/>
      <c r="K647" s="1474"/>
      <c r="L647" s="1474"/>
      <c r="O647" s="33" t="s">
        <v>207</v>
      </c>
      <c r="P647" s="1487"/>
      <c r="Q647" s="1487"/>
      <c r="R647" s="1487"/>
      <c r="S647" s="10"/>
      <c r="T647" s="22"/>
      <c r="U647" t="s">
        <v>317</v>
      </c>
      <c r="Z647" s="1474" t="s">
        <v>2787</v>
      </c>
      <c r="AA647" s="1474"/>
      <c r="AB647" s="1474"/>
      <c r="AC647" s="1474"/>
      <c r="AD647" s="1474"/>
      <c r="AE647" s="1474"/>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3" t="e">
        <f t="shared" si="29"/>
        <v>#VALUE!</v>
      </c>
      <c r="DY647" s="1473"/>
      <c r="DZ647" s="1473"/>
      <c r="EA647" s="1473"/>
      <c r="EB647" s="1473"/>
      <c r="EC647" s="1473" t="e">
        <f t="shared" si="24"/>
        <v>#VALUE!</v>
      </c>
      <c r="ED647" s="1473"/>
      <c r="EE647" s="1473"/>
      <c r="EF647" s="1473"/>
      <c r="EG647" s="1473"/>
      <c r="EH647" s="1473" t="e">
        <f t="shared" si="25"/>
        <v>#VALUE!</v>
      </c>
      <c r="EI647" s="1473"/>
      <c r="EJ647" s="1473"/>
      <c r="EK647" s="1473"/>
      <c r="EL647" s="1473"/>
      <c r="EM647" s="1473" t="e">
        <f t="shared" si="26"/>
        <v>#VALUE!</v>
      </c>
      <c r="EN647" s="1473"/>
      <c r="EO647" s="1473"/>
      <c r="EP647" s="1473"/>
      <c r="EQ647" s="1473"/>
      <c r="ER647" s="1473" t="e">
        <f t="shared" si="27"/>
        <v>#VALUE!</v>
      </c>
      <c r="ES647" s="1473"/>
      <c r="ET647" s="1473"/>
      <c r="EU647" s="1473"/>
      <c r="EV647" s="1473"/>
      <c r="EW647" s="1473" t="e">
        <f t="shared" si="28"/>
        <v>#VALUE!</v>
      </c>
      <c r="EX647" s="1473"/>
      <c r="EY647" s="1473"/>
      <c r="EZ647" s="1473"/>
      <c r="FA647" s="1473"/>
    </row>
    <row r="648" spans="1:157" ht="13.15" customHeight="1">
      <c r="A648" s="22"/>
      <c r="B648" t="s">
        <v>18</v>
      </c>
      <c r="H648" s="1404" t="s">
        <v>2783</v>
      </c>
      <c r="I648" s="1404"/>
      <c r="J648" s="1404"/>
      <c r="K648" s="1404"/>
      <c r="L648" s="1404"/>
      <c r="M648" s="1404"/>
      <c r="N648" s="1404"/>
      <c r="O648" s="1404"/>
      <c r="P648" s="1404"/>
      <c r="Q648" s="1404"/>
      <c r="R648" s="1404"/>
      <c r="S648" s="8"/>
      <c r="T648" s="22"/>
      <c r="U648" t="s">
        <v>18</v>
      </c>
      <c r="AA648" s="1404" t="s">
        <v>2778</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3" t="e">
        <f t="shared" si="29"/>
        <v>#VALUE!</v>
      </c>
      <c r="DY648" s="1473"/>
      <c r="DZ648" s="1473"/>
      <c r="EA648" s="1473"/>
      <c r="EB648" s="1473"/>
      <c r="EC648" s="1473" t="e">
        <f t="shared" si="24"/>
        <v>#VALUE!</v>
      </c>
      <c r="ED648" s="1473"/>
      <c r="EE648" s="1473"/>
      <c r="EF648" s="1473"/>
      <c r="EG648" s="1473"/>
      <c r="EH648" s="1473" t="e">
        <f t="shared" si="25"/>
        <v>#VALUE!</v>
      </c>
      <c r="EI648" s="1473"/>
      <c r="EJ648" s="1473"/>
      <c r="EK648" s="1473"/>
      <c r="EL648" s="1473"/>
      <c r="EM648" s="1473" t="e">
        <f t="shared" si="26"/>
        <v>#VALUE!</v>
      </c>
      <c r="EN648" s="1473"/>
      <c r="EO648" s="1473"/>
      <c r="EP648" s="1473"/>
      <c r="EQ648" s="1473"/>
      <c r="ER648" s="1473" t="e">
        <f t="shared" si="27"/>
        <v>#VALUE!</v>
      </c>
      <c r="ES648" s="1473"/>
      <c r="ET648" s="1473"/>
      <c r="EU648" s="1473"/>
      <c r="EV648" s="1473"/>
      <c r="EW648" s="1473" t="e">
        <f t="shared" si="28"/>
        <v>#VALUE!</v>
      </c>
      <c r="EX648" s="1473"/>
      <c r="EY648" s="1473"/>
      <c r="EZ648" s="1473"/>
      <c r="FA648" s="1473"/>
    </row>
    <row r="649" spans="1:157" ht="13.15" customHeight="1">
      <c r="A649" s="22"/>
      <c r="B649" t="s">
        <v>20</v>
      </c>
      <c r="N649" s="1403" t="s">
        <v>553</v>
      </c>
      <c r="O649" s="1403"/>
      <c r="T649" s="22"/>
      <c r="U649" t="s">
        <v>20</v>
      </c>
      <c r="AG649" s="1403" t="s">
        <v>553</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3" t="e">
        <f t="shared" si="29"/>
        <v>#VALUE!</v>
      </c>
      <c r="DY649" s="1473"/>
      <c r="DZ649" s="1473"/>
      <c r="EA649" s="1473"/>
      <c r="EB649" s="1473"/>
      <c r="EC649" s="1473" t="e">
        <f t="shared" si="24"/>
        <v>#VALUE!</v>
      </c>
      <c r="ED649" s="1473"/>
      <c r="EE649" s="1473"/>
      <c r="EF649" s="1473"/>
      <c r="EG649" s="1473"/>
      <c r="EH649" s="1473" t="e">
        <f t="shared" si="25"/>
        <v>#VALUE!</v>
      </c>
      <c r="EI649" s="1473"/>
      <c r="EJ649" s="1473"/>
      <c r="EK649" s="1473"/>
      <c r="EL649" s="1473"/>
      <c r="EM649" s="1473" t="e">
        <f t="shared" si="26"/>
        <v>#VALUE!</v>
      </c>
      <c r="EN649" s="1473"/>
      <c r="EO649" s="1473"/>
      <c r="EP649" s="1473"/>
      <c r="EQ649" s="1473"/>
      <c r="ER649" s="1473" t="e">
        <f t="shared" si="27"/>
        <v>#VALUE!</v>
      </c>
      <c r="ES649" s="1473"/>
      <c r="ET649" s="1473"/>
      <c r="EU649" s="1473"/>
      <c r="EV649" s="1473"/>
      <c r="EW649" s="1473" t="e">
        <f t="shared" si="28"/>
        <v>#VALUE!</v>
      </c>
      <c r="EX649" s="1473"/>
      <c r="EY649" s="1473"/>
      <c r="EZ649" s="1473"/>
      <c r="FA649" s="1473"/>
    </row>
    <row r="650" spans="1:157" ht="13.1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3" t="e">
        <f t="shared" si="29"/>
        <v>#VALUE!</v>
      </c>
      <c r="DY650" s="1473"/>
      <c r="DZ650" s="1473"/>
      <c r="EA650" s="1473"/>
      <c r="EB650" s="1473"/>
      <c r="EC650" s="1473" t="e">
        <f t="shared" si="24"/>
        <v>#VALUE!</v>
      </c>
      <c r="ED650" s="1473"/>
      <c r="EE650" s="1473"/>
      <c r="EF650" s="1473"/>
      <c r="EG650" s="1473"/>
      <c r="EH650" s="1473" t="e">
        <f t="shared" si="25"/>
        <v>#VALUE!</v>
      </c>
      <c r="EI650" s="1473"/>
      <c r="EJ650" s="1473"/>
      <c r="EK650" s="1473"/>
      <c r="EL650" s="1473"/>
      <c r="EM650" s="1473" t="e">
        <f t="shared" si="26"/>
        <v>#VALUE!</v>
      </c>
      <c r="EN650" s="1473"/>
      <c r="EO650" s="1473"/>
      <c r="EP650" s="1473"/>
      <c r="EQ650" s="1473"/>
      <c r="ER650" s="1473" t="e">
        <f t="shared" si="27"/>
        <v>#VALUE!</v>
      </c>
      <c r="ES650" s="1473"/>
      <c r="ET650" s="1473"/>
      <c r="EU650" s="1473"/>
      <c r="EV650" s="1473"/>
      <c r="EW650" s="1473" t="e">
        <f t="shared" si="28"/>
        <v>#VALUE!</v>
      </c>
      <c r="EX650" s="1473"/>
      <c r="EY650" s="1473"/>
      <c r="EZ650" s="1473"/>
      <c r="FA650" s="1473"/>
    </row>
    <row r="651" spans="1:157" ht="13.15" customHeight="1">
      <c r="A651" s="55" t="s">
        <v>119</v>
      </c>
      <c r="B651" t="s">
        <v>471</v>
      </c>
      <c r="G651" s="1449" t="str">
        <f>C629</f>
        <v>HACR Seller Carryback Loan</v>
      </c>
      <c r="H651" s="1449"/>
      <c r="I651" s="1449"/>
      <c r="J651" s="1449"/>
      <c r="K651" s="1449"/>
      <c r="L651" s="1449"/>
      <c r="M651" s="1449"/>
      <c r="N651" s="1449"/>
      <c r="O651" s="1449"/>
      <c r="P651" s="1449"/>
      <c r="Q651" s="1449"/>
      <c r="R651" s="1449"/>
      <c r="T651" s="55" t="s">
        <v>589</v>
      </c>
      <c r="U651" t="s">
        <v>471</v>
      </c>
      <c r="Z651" s="1449" t="str">
        <f>C630</f>
        <v>HACR PLHA Loan</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3" t="e">
        <f t="shared" si="29"/>
        <v>#VALUE!</v>
      </c>
      <c r="DY651" s="1473"/>
      <c r="DZ651" s="1473"/>
      <c r="EA651" s="1473"/>
      <c r="EB651" s="1473"/>
      <c r="EC651" s="1473" t="e">
        <f t="shared" si="24"/>
        <v>#VALUE!</v>
      </c>
      <c r="ED651" s="1473"/>
      <c r="EE651" s="1473"/>
      <c r="EF651" s="1473"/>
      <c r="EG651" s="1473"/>
      <c r="EH651" s="1473" t="e">
        <f t="shared" si="25"/>
        <v>#VALUE!</v>
      </c>
      <c r="EI651" s="1473"/>
      <c r="EJ651" s="1473"/>
      <c r="EK651" s="1473"/>
      <c r="EL651" s="1473"/>
      <c r="EM651" s="1473" t="e">
        <f t="shared" si="26"/>
        <v>#VALUE!</v>
      </c>
      <c r="EN651" s="1473"/>
      <c r="EO651" s="1473"/>
      <c r="EP651" s="1473"/>
      <c r="EQ651" s="1473"/>
      <c r="ER651" s="1473" t="e">
        <f t="shared" si="27"/>
        <v>#VALUE!</v>
      </c>
      <c r="ES651" s="1473"/>
      <c r="ET651" s="1473"/>
      <c r="EU651" s="1473"/>
      <c r="EV651" s="1473"/>
      <c r="EW651" s="1473" t="e">
        <f t="shared" si="28"/>
        <v>#VALUE!</v>
      </c>
      <c r="EX651" s="1473"/>
      <c r="EY651" s="1473"/>
      <c r="EZ651" s="1473"/>
      <c r="FA651" s="1473"/>
    </row>
    <row r="652" spans="1:157" ht="13.15" customHeight="1">
      <c r="A652" s="22"/>
      <c r="B652" t="s">
        <v>85</v>
      </c>
      <c r="G652" s="1404" t="str">
        <f>G578</f>
        <v>3403 Tenth St. Suite 300</v>
      </c>
      <c r="H652" s="1404"/>
      <c r="I652" s="1404"/>
      <c r="J652" s="1404"/>
      <c r="K652" s="1404"/>
      <c r="L652" s="1404"/>
      <c r="M652" s="1404"/>
      <c r="N652" s="1404"/>
      <c r="O652" s="1404"/>
      <c r="P652" s="1404"/>
      <c r="Q652" s="1404"/>
      <c r="R652" s="1404"/>
      <c r="T652" s="22"/>
      <c r="U652" t="s">
        <v>85</v>
      </c>
      <c r="Z652" s="1404" t="str">
        <f>Z578</f>
        <v>3403 Tenth St. Suite 300</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3" t="e">
        <f t="shared" si="29"/>
        <v>#VALUE!</v>
      </c>
      <c r="DY652" s="1473"/>
      <c r="DZ652" s="1473"/>
      <c r="EA652" s="1473"/>
      <c r="EB652" s="1473"/>
      <c r="EC652" s="1473" t="e">
        <f t="shared" si="24"/>
        <v>#VALUE!</v>
      </c>
      <c r="ED652" s="1473"/>
      <c r="EE652" s="1473"/>
      <c r="EF652" s="1473"/>
      <c r="EG652" s="1473"/>
      <c r="EH652" s="1473" t="e">
        <f t="shared" si="25"/>
        <v>#VALUE!</v>
      </c>
      <c r="EI652" s="1473"/>
      <c r="EJ652" s="1473"/>
      <c r="EK652" s="1473"/>
      <c r="EL652" s="1473"/>
      <c r="EM652" s="1473" t="e">
        <f t="shared" si="26"/>
        <v>#VALUE!</v>
      </c>
      <c r="EN652" s="1473"/>
      <c r="EO652" s="1473"/>
      <c r="EP652" s="1473"/>
      <c r="EQ652" s="1473"/>
      <c r="ER652" s="1473" t="e">
        <f t="shared" si="27"/>
        <v>#VALUE!</v>
      </c>
      <c r="ES652" s="1473"/>
      <c r="ET652" s="1473"/>
      <c r="EU652" s="1473"/>
      <c r="EV652" s="1473"/>
      <c r="EW652" s="1473" t="e">
        <f t="shared" si="28"/>
        <v>#VALUE!</v>
      </c>
      <c r="EX652" s="1473"/>
      <c r="EY652" s="1473"/>
      <c r="EZ652" s="1473"/>
      <c r="FA652" s="1473"/>
    </row>
    <row r="653" spans="1:157" ht="13.15" customHeight="1">
      <c r="A653" s="22"/>
      <c r="B653" t="s">
        <v>588</v>
      </c>
      <c r="G653" s="1405" t="str">
        <f t="shared" ref="G653:G654" si="42">G579</f>
        <v>Riverside</v>
      </c>
      <c r="H653" s="1405"/>
      <c r="I653" s="1405"/>
      <c r="J653" s="1405"/>
      <c r="K653" s="1405"/>
      <c r="L653" s="1405"/>
      <c r="M653" s="1405"/>
      <c r="N653" s="1405"/>
      <c r="O653" s="1405"/>
      <c r="P653" s="1405"/>
      <c r="Q653" s="1405"/>
      <c r="R653" s="1405"/>
      <c r="T653" s="22"/>
      <c r="U653" t="s">
        <v>588</v>
      </c>
      <c r="Z653" s="1405" t="str">
        <f t="shared" ref="Z653:Z654" si="43">Z579</f>
        <v>Riverside</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3" t="e">
        <f t="shared" si="29"/>
        <v>#VALUE!</v>
      </c>
      <c r="DY653" s="1473"/>
      <c r="DZ653" s="1473"/>
      <c r="EA653" s="1473"/>
      <c r="EB653" s="1473"/>
      <c r="EC653" s="1473" t="e">
        <f t="shared" si="24"/>
        <v>#VALUE!</v>
      </c>
      <c r="ED653" s="1473"/>
      <c r="EE653" s="1473"/>
      <c r="EF653" s="1473"/>
      <c r="EG653" s="1473"/>
      <c r="EH653" s="1473" t="e">
        <f t="shared" si="25"/>
        <v>#VALUE!</v>
      </c>
      <c r="EI653" s="1473"/>
      <c r="EJ653" s="1473"/>
      <c r="EK653" s="1473"/>
      <c r="EL653" s="1473"/>
      <c r="EM653" s="1473" t="e">
        <f t="shared" si="26"/>
        <v>#VALUE!</v>
      </c>
      <c r="EN653" s="1473"/>
      <c r="EO653" s="1473"/>
      <c r="EP653" s="1473"/>
      <c r="EQ653" s="1473"/>
      <c r="ER653" s="1473" t="e">
        <f t="shared" si="27"/>
        <v>#VALUE!</v>
      </c>
      <c r="ES653" s="1473"/>
      <c r="ET653" s="1473"/>
      <c r="EU653" s="1473"/>
      <c r="EV653" s="1473"/>
      <c r="EW653" s="1473" t="e">
        <f t="shared" si="28"/>
        <v>#VALUE!</v>
      </c>
      <c r="EX653" s="1473"/>
      <c r="EY653" s="1473"/>
      <c r="EZ653" s="1473"/>
      <c r="FA653" s="1473"/>
    </row>
    <row r="654" spans="1:157" ht="13.15" customHeight="1">
      <c r="A654" s="22"/>
      <c r="B654" t="s">
        <v>17</v>
      </c>
      <c r="G654" s="1405" t="str">
        <f t="shared" si="42"/>
        <v>Juan Garcia</v>
      </c>
      <c r="H654" s="1405"/>
      <c r="I654" s="1405"/>
      <c r="J654" s="1405"/>
      <c r="K654" s="1405"/>
      <c r="L654" s="1405"/>
      <c r="M654" s="1405"/>
      <c r="N654" s="1405"/>
      <c r="O654" s="1405"/>
      <c r="P654" s="1405"/>
      <c r="Q654" s="1405"/>
      <c r="R654" s="1405"/>
      <c r="T654" s="22"/>
      <c r="U654" t="s">
        <v>17</v>
      </c>
      <c r="Z654" s="1405" t="str">
        <f t="shared" si="43"/>
        <v>Juan Garcia</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3" t="e">
        <f t="shared" si="29"/>
        <v>#VALUE!</v>
      </c>
      <c r="DY654" s="1473"/>
      <c r="DZ654" s="1473"/>
      <c r="EA654" s="1473"/>
      <c r="EB654" s="1473"/>
      <c r="EC654" s="1473" t="e">
        <f t="shared" si="24"/>
        <v>#VALUE!</v>
      </c>
      <c r="ED654" s="1473"/>
      <c r="EE654" s="1473"/>
      <c r="EF654" s="1473"/>
      <c r="EG654" s="1473"/>
      <c r="EH654" s="1473" t="e">
        <f t="shared" si="25"/>
        <v>#VALUE!</v>
      </c>
      <c r="EI654" s="1473"/>
      <c r="EJ654" s="1473"/>
      <c r="EK654" s="1473"/>
      <c r="EL654" s="1473"/>
      <c r="EM654" s="1473" t="e">
        <f t="shared" si="26"/>
        <v>#VALUE!</v>
      </c>
      <c r="EN654" s="1473"/>
      <c r="EO654" s="1473"/>
      <c r="EP654" s="1473"/>
      <c r="EQ654" s="1473"/>
      <c r="ER654" s="1473" t="e">
        <f t="shared" si="27"/>
        <v>#VALUE!</v>
      </c>
      <c r="ES654" s="1473"/>
      <c r="ET654" s="1473"/>
      <c r="EU654" s="1473"/>
      <c r="EV654" s="1473"/>
      <c r="EW654" s="1473" t="e">
        <f t="shared" si="28"/>
        <v>#VALUE!</v>
      </c>
      <c r="EX654" s="1473"/>
      <c r="EY654" s="1473"/>
      <c r="EZ654" s="1473"/>
      <c r="FA654" s="1473"/>
    </row>
    <row r="655" spans="1:157" ht="13.15" customHeight="1">
      <c r="A655" s="22"/>
      <c r="B655" t="s">
        <v>317</v>
      </c>
      <c r="G655" s="1474" t="str">
        <f>G581</f>
        <v>951-955-8126</v>
      </c>
      <c r="H655" s="1474"/>
      <c r="I655" s="1474"/>
      <c r="J655" s="1474"/>
      <c r="K655" s="1474"/>
      <c r="L655" s="1474"/>
      <c r="O655" s="33" t="s">
        <v>207</v>
      </c>
      <c r="P655" s="1487"/>
      <c r="Q655" s="1487"/>
      <c r="R655" s="1487"/>
      <c r="T655" s="22"/>
      <c r="U655" t="s">
        <v>317</v>
      </c>
      <c r="Z655" s="1474" t="str">
        <f>Z581</f>
        <v>951-955-8126</v>
      </c>
      <c r="AA655" s="1474"/>
      <c r="AB655" s="1474"/>
      <c r="AC655" s="1474"/>
      <c r="AD655" s="1474"/>
      <c r="AE655" s="1474"/>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3" t="e">
        <f t="shared" si="29"/>
        <v>#VALUE!</v>
      </c>
      <c r="DY655" s="1473"/>
      <c r="DZ655" s="1473"/>
      <c r="EA655" s="1473"/>
      <c r="EB655" s="1473"/>
      <c r="EC655" s="1473" t="e">
        <f t="shared" si="24"/>
        <v>#VALUE!</v>
      </c>
      <c r="ED655" s="1473"/>
      <c r="EE655" s="1473"/>
      <c r="EF655" s="1473"/>
      <c r="EG655" s="1473"/>
      <c r="EH655" s="1473" t="e">
        <f t="shared" si="25"/>
        <v>#VALUE!</v>
      </c>
      <c r="EI655" s="1473"/>
      <c r="EJ655" s="1473"/>
      <c r="EK655" s="1473"/>
      <c r="EL655" s="1473"/>
      <c r="EM655" s="1473" t="e">
        <f t="shared" si="26"/>
        <v>#VALUE!</v>
      </c>
      <c r="EN655" s="1473"/>
      <c r="EO655" s="1473"/>
      <c r="EP655" s="1473"/>
      <c r="EQ655" s="1473"/>
      <c r="ER655" s="1473" t="e">
        <f t="shared" si="27"/>
        <v>#VALUE!</v>
      </c>
      <c r="ES655" s="1473"/>
      <c r="ET655" s="1473"/>
      <c r="EU655" s="1473"/>
      <c r="EV655" s="1473"/>
      <c r="EW655" s="1473" t="e">
        <f t="shared" si="28"/>
        <v>#VALUE!</v>
      </c>
      <c r="EX655" s="1473"/>
      <c r="EY655" s="1473"/>
      <c r="EZ655" s="1473"/>
      <c r="FA655" s="1473"/>
    </row>
    <row r="656" spans="1:157" ht="13.15" customHeight="1">
      <c r="A656" s="22"/>
      <c r="B656" t="s">
        <v>18</v>
      </c>
      <c r="H656" s="1404" t="str">
        <f>H582</f>
        <v>Residual Receipts Loan</v>
      </c>
      <c r="I656" s="1404"/>
      <c r="J656" s="1404"/>
      <c r="K656" s="1404"/>
      <c r="L656" s="1404"/>
      <c r="M656" s="1404"/>
      <c r="N656" s="1404"/>
      <c r="O656" s="1404"/>
      <c r="P656" s="1404"/>
      <c r="Q656" s="1404"/>
      <c r="R656" s="1404"/>
      <c r="T656" s="22"/>
      <c r="U656" t="s">
        <v>18</v>
      </c>
      <c r="AA656" s="1404" t="str">
        <f>AA582</f>
        <v>Residual Receipts Loan</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29"/>
        <v>#VALUE!</v>
      </c>
      <c r="DY656" s="1473"/>
      <c r="DZ656" s="1473"/>
      <c r="EA656" s="1473"/>
      <c r="EB656" s="1473"/>
      <c r="EC656" s="1473" t="e">
        <f t="shared" si="24"/>
        <v>#VALUE!</v>
      </c>
      <c r="ED656" s="1473"/>
      <c r="EE656" s="1473"/>
      <c r="EF656" s="1473"/>
      <c r="EG656" s="1473"/>
      <c r="EH656" s="1473" t="e">
        <f t="shared" si="25"/>
        <v>#VALUE!</v>
      </c>
      <c r="EI656" s="1473"/>
      <c r="EJ656" s="1473"/>
      <c r="EK656" s="1473"/>
      <c r="EL656" s="1473"/>
      <c r="EM656" s="1473" t="e">
        <f t="shared" si="26"/>
        <v>#VALUE!</v>
      </c>
      <c r="EN656" s="1473"/>
      <c r="EO656" s="1473"/>
      <c r="EP656" s="1473"/>
      <c r="EQ656" s="1473"/>
      <c r="ER656" s="1473" t="e">
        <f t="shared" si="27"/>
        <v>#VALUE!</v>
      </c>
      <c r="ES656" s="1473"/>
      <c r="ET656" s="1473"/>
      <c r="EU656" s="1473"/>
      <c r="EV656" s="1473"/>
      <c r="EW656" s="1473" t="e">
        <f t="shared" si="28"/>
        <v>#VALUE!</v>
      </c>
      <c r="EX656" s="1473"/>
      <c r="EY656" s="1473"/>
      <c r="EZ656" s="1473"/>
      <c r="FA656" s="1473"/>
    </row>
    <row r="657" spans="1:157" ht="13.15" customHeight="1">
      <c r="A657" s="22"/>
      <c r="B657" t="s">
        <v>20</v>
      </c>
      <c r="N657" s="1403" t="s">
        <v>553</v>
      </c>
      <c r="O657" s="1403"/>
      <c r="T657" s="22"/>
      <c r="U657" t="s">
        <v>20</v>
      </c>
      <c r="AG657" s="1403" t="s">
        <v>553</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3">
        <f>SUM(CS655:DV655)</f>
        <v>0</v>
      </c>
      <c r="DS657" s="1473"/>
      <c r="DT657" s="1473"/>
      <c r="DU657" s="1473"/>
      <c r="DV657" s="1473"/>
      <c r="DX657" s="1473" t="e">
        <f t="shared" si="29"/>
        <v>#VALUE!</v>
      </c>
      <c r="DY657" s="1473"/>
      <c r="DZ657" s="1473"/>
      <c r="EA657" s="1473"/>
      <c r="EB657" s="1473"/>
      <c r="EC657" s="1473" t="e">
        <f t="shared" si="24"/>
        <v>#VALUE!</v>
      </c>
      <c r="ED657" s="1473"/>
      <c r="EE657" s="1473"/>
      <c r="EF657" s="1473"/>
      <c r="EG657" s="1473"/>
      <c r="EH657" s="1473" t="e">
        <f t="shared" si="25"/>
        <v>#VALUE!</v>
      </c>
      <c r="EI657" s="1473"/>
      <c r="EJ657" s="1473"/>
      <c r="EK657" s="1473"/>
      <c r="EL657" s="1473"/>
      <c r="EM657" s="1473" t="e">
        <f t="shared" si="26"/>
        <v>#VALUE!</v>
      </c>
      <c r="EN657" s="1473"/>
      <c r="EO657" s="1473"/>
      <c r="EP657" s="1473"/>
      <c r="EQ657" s="1473"/>
      <c r="ER657" s="1473" t="e">
        <f t="shared" si="27"/>
        <v>#VALUE!</v>
      </c>
      <c r="ES657" s="1473"/>
      <c r="ET657" s="1473"/>
      <c r="EU657" s="1473"/>
      <c r="EV657" s="1473"/>
      <c r="EW657" s="1473" t="e">
        <f t="shared" si="28"/>
        <v>#VALUE!</v>
      </c>
      <c r="EX657" s="1473"/>
      <c r="EY657" s="1473"/>
      <c r="EZ657" s="1473"/>
      <c r="FA657" s="1473"/>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3" t="e">
        <f t="shared" ref="DX658:DX667" si="44">DX620*(BN620/$BN$632)</f>
        <v>#VALUE!</v>
      </c>
      <c r="DY658" s="1473"/>
      <c r="DZ658" s="1473"/>
      <c r="EA658" s="1473"/>
      <c r="EB658" s="1473"/>
      <c r="EC658" s="1473" t="e">
        <f t="shared" ref="EC658:EC667" si="45">EC620*(BS620/$BS$632)</f>
        <v>#VALUE!</v>
      </c>
      <c r="ED658" s="1473"/>
      <c r="EE658" s="1473"/>
      <c r="EF658" s="1473"/>
      <c r="EG658" s="1473"/>
      <c r="EH658" s="1473" t="e">
        <f t="shared" ref="EH658:EH667" si="46">EH620*(BX620/$BX$632)</f>
        <v>#VALUE!</v>
      </c>
      <c r="EI658" s="1473"/>
      <c r="EJ658" s="1473"/>
      <c r="EK658" s="1473"/>
      <c r="EL658" s="1473"/>
      <c r="EM658" s="1473" t="e">
        <f t="shared" ref="EM658:EM667" si="47">EM620*(CC620/$CC$632)</f>
        <v>#VALUE!</v>
      </c>
      <c r="EN658" s="1473"/>
      <c r="EO658" s="1473"/>
      <c r="EP658" s="1473"/>
      <c r="EQ658" s="1473"/>
      <c r="ER658" s="1473" t="e">
        <f t="shared" ref="ER658:ER667" si="48">ER620*(CH620/$CH$632)</f>
        <v>#VALUE!</v>
      </c>
      <c r="ES658" s="1473"/>
      <c r="ET658" s="1473"/>
      <c r="EU658" s="1473"/>
      <c r="EV658" s="1473"/>
      <c r="EW658" s="1473" t="e">
        <f t="shared" ref="EW658:EW667" si="49">EW620*(CM620/$CM$632)</f>
        <v>#VALUE!</v>
      </c>
      <c r="EX658" s="1473"/>
      <c r="EY658" s="1473"/>
      <c r="EZ658" s="1473"/>
      <c r="FA658" s="1473"/>
    </row>
    <row r="659" spans="1:157" ht="13.15" customHeight="1">
      <c r="A659" s="55" t="s">
        <v>772</v>
      </c>
      <c r="B659" t="s">
        <v>471</v>
      </c>
      <c r="G659" s="1449" t="str">
        <f>C631</f>
        <v>HACR Taxable Housing Bond</v>
      </c>
      <c r="H659" s="1449"/>
      <c r="I659" s="1449"/>
      <c r="J659" s="1449"/>
      <c r="K659" s="1449"/>
      <c r="L659" s="1449"/>
      <c r="M659" s="1449"/>
      <c r="N659" s="1449"/>
      <c r="O659" s="1449"/>
      <c r="P659" s="1449"/>
      <c r="Q659" s="1449"/>
      <c r="R659" s="1449"/>
      <c r="T659" s="55" t="s">
        <v>592</v>
      </c>
      <c r="U659" t="s">
        <v>471</v>
      </c>
      <c r="Z659" s="1449" t="str">
        <f>C632</f>
        <v>City of Coachella RDA Funds</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4"/>
        <v>#VALUE!</v>
      </c>
      <c r="DY659" s="1473"/>
      <c r="DZ659" s="1473"/>
      <c r="EA659" s="1473"/>
      <c r="EB659" s="1473"/>
      <c r="EC659" s="1473" t="e">
        <f t="shared" si="45"/>
        <v>#VALUE!</v>
      </c>
      <c r="ED659" s="1473"/>
      <c r="EE659" s="1473"/>
      <c r="EF659" s="1473"/>
      <c r="EG659" s="1473"/>
      <c r="EH659" s="1473" t="e">
        <f t="shared" si="46"/>
        <v>#VALUE!</v>
      </c>
      <c r="EI659" s="1473"/>
      <c r="EJ659" s="1473"/>
      <c r="EK659" s="1473"/>
      <c r="EL659" s="1473"/>
      <c r="EM659" s="1473" t="e">
        <f t="shared" si="47"/>
        <v>#VALUE!</v>
      </c>
      <c r="EN659" s="1473"/>
      <c r="EO659" s="1473"/>
      <c r="EP659" s="1473"/>
      <c r="EQ659" s="1473"/>
      <c r="ER659" s="1473" t="e">
        <f t="shared" si="48"/>
        <v>#VALUE!</v>
      </c>
      <c r="ES659" s="1473"/>
      <c r="ET659" s="1473"/>
      <c r="EU659" s="1473"/>
      <c r="EV659" s="1473"/>
      <c r="EW659" s="1473" t="e">
        <f t="shared" si="49"/>
        <v>#VALUE!</v>
      </c>
      <c r="EX659" s="1473"/>
      <c r="EY659" s="1473"/>
      <c r="EZ659" s="1473"/>
      <c r="FA659" s="1473"/>
    </row>
    <row r="660" spans="1:157" ht="13.15" customHeight="1">
      <c r="A660" s="22"/>
      <c r="B660" t="s">
        <v>85</v>
      </c>
      <c r="G660" s="1404" t="str">
        <f>G586</f>
        <v>3403 Tenth St. Suite 300</v>
      </c>
      <c r="H660" s="1404"/>
      <c r="I660" s="1404"/>
      <c r="J660" s="1404"/>
      <c r="K660" s="1404"/>
      <c r="L660" s="1404"/>
      <c r="M660" s="1404"/>
      <c r="N660" s="1404"/>
      <c r="O660" s="1404"/>
      <c r="P660" s="1404"/>
      <c r="Q660" s="1404"/>
      <c r="R660" s="1404"/>
      <c r="T660" s="22"/>
      <c r="U660" t="s">
        <v>85</v>
      </c>
      <c r="Z660" s="1404" t="str">
        <f>Z586</f>
        <v>3403 Tenth St. Suite 300</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0</v>
      </c>
      <c r="BO660" s="1478"/>
      <c r="BP660" s="1478"/>
      <c r="BQ660" s="1478"/>
      <c r="BR660" s="1479"/>
      <c r="BS660" s="1477">
        <f>BS632+BS641+BS655</f>
        <v>16</v>
      </c>
      <c r="BT660" s="1478"/>
      <c r="BU660" s="1478"/>
      <c r="BV660" s="1478"/>
      <c r="BW660" s="1479"/>
      <c r="BX660" s="1477">
        <f>BX632+BX641+BX655</f>
        <v>40</v>
      </c>
      <c r="BY660" s="1478"/>
      <c r="BZ660" s="1478"/>
      <c r="CA660" s="1478"/>
      <c r="CB660" s="1479"/>
      <c r="CC660" s="1477">
        <f>CC632+CC641+CC655</f>
        <v>28</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178</v>
      </c>
      <c r="CT660" s="57" t="s">
        <v>2055</v>
      </c>
      <c r="CU660" s="3"/>
      <c r="CV660" s="3"/>
      <c r="CW660" s="3"/>
      <c r="CX660" s="3"/>
      <c r="CY660" s="3"/>
      <c r="CZ660" s="3"/>
      <c r="DA660" s="3"/>
      <c r="DB660" s="3"/>
      <c r="DC660" s="3"/>
      <c r="DD660" s="3"/>
      <c r="DE660" s="3"/>
      <c r="DF660" s="3"/>
      <c r="DX660" s="1473" t="e">
        <f t="shared" si="44"/>
        <v>#VALUE!</v>
      </c>
      <c r="DY660" s="1473"/>
      <c r="DZ660" s="1473"/>
      <c r="EA660" s="1473"/>
      <c r="EB660" s="1473"/>
      <c r="EC660" s="1473" t="e">
        <f t="shared" si="45"/>
        <v>#VALUE!</v>
      </c>
      <c r="ED660" s="1473"/>
      <c r="EE660" s="1473"/>
      <c r="EF660" s="1473"/>
      <c r="EG660" s="1473"/>
      <c r="EH660" s="1473" t="e">
        <f t="shared" si="46"/>
        <v>#VALUE!</v>
      </c>
      <c r="EI660" s="1473"/>
      <c r="EJ660" s="1473"/>
      <c r="EK660" s="1473"/>
      <c r="EL660" s="1473"/>
      <c r="EM660" s="1473" t="e">
        <f t="shared" si="47"/>
        <v>#VALUE!</v>
      </c>
      <c r="EN660" s="1473"/>
      <c r="EO660" s="1473"/>
      <c r="EP660" s="1473"/>
      <c r="EQ660" s="1473"/>
      <c r="ER660" s="1473" t="e">
        <f t="shared" si="48"/>
        <v>#VALUE!</v>
      </c>
      <c r="ES660" s="1473"/>
      <c r="ET660" s="1473"/>
      <c r="EU660" s="1473"/>
      <c r="EV660" s="1473"/>
      <c r="EW660" s="1473" t="e">
        <f t="shared" si="49"/>
        <v>#VALUE!</v>
      </c>
      <c r="EX660" s="1473"/>
      <c r="EY660" s="1473"/>
      <c r="EZ660" s="1473"/>
      <c r="FA660" s="1473"/>
    </row>
    <row r="661" spans="1:157" ht="13.15" customHeight="1">
      <c r="A661" s="22"/>
      <c r="B661" t="s">
        <v>588</v>
      </c>
      <c r="G661" s="1404" t="str">
        <f t="shared" ref="G661:G662" si="50">G587</f>
        <v>Riverside</v>
      </c>
      <c r="H661" s="1404"/>
      <c r="I661" s="1404"/>
      <c r="J661" s="1404"/>
      <c r="K661" s="1404"/>
      <c r="L661" s="1404"/>
      <c r="M661" s="1404"/>
      <c r="N661" s="1404"/>
      <c r="O661" s="1404"/>
      <c r="P661" s="1404"/>
      <c r="Q661" s="1404"/>
      <c r="R661" s="1404"/>
      <c r="T661" s="22"/>
      <c r="U661" t="s">
        <v>588</v>
      </c>
      <c r="Z661" s="1405" t="str">
        <f t="shared" ref="Z661:Z662" si="51">Z587</f>
        <v>Riverside</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4"/>
        <v>#VALUE!</v>
      </c>
      <c r="DY661" s="1473"/>
      <c r="DZ661" s="1473"/>
      <c r="EA661" s="1473"/>
      <c r="EB661" s="1473"/>
      <c r="EC661" s="1473" t="e">
        <f t="shared" si="45"/>
        <v>#VALUE!</v>
      </c>
      <c r="ED661" s="1473"/>
      <c r="EE661" s="1473"/>
      <c r="EF661" s="1473"/>
      <c r="EG661" s="1473"/>
      <c r="EH661" s="1473" t="e">
        <f t="shared" si="46"/>
        <v>#VALUE!</v>
      </c>
      <c r="EI661" s="1473"/>
      <c r="EJ661" s="1473"/>
      <c r="EK661" s="1473"/>
      <c r="EL661" s="1473"/>
      <c r="EM661" s="1473" t="e">
        <f t="shared" si="47"/>
        <v>#VALUE!</v>
      </c>
      <c r="EN661" s="1473"/>
      <c r="EO661" s="1473"/>
      <c r="EP661" s="1473"/>
      <c r="EQ661" s="1473"/>
      <c r="ER661" s="1473" t="e">
        <f t="shared" si="48"/>
        <v>#VALUE!</v>
      </c>
      <c r="ES661" s="1473"/>
      <c r="ET661" s="1473"/>
      <c r="EU661" s="1473"/>
      <c r="EV661" s="1473"/>
      <c r="EW661" s="1473" t="e">
        <f t="shared" si="49"/>
        <v>#VALUE!</v>
      </c>
      <c r="EX661" s="1473"/>
      <c r="EY661" s="1473"/>
      <c r="EZ661" s="1473"/>
      <c r="FA661" s="1473"/>
    </row>
    <row r="662" spans="1:157" ht="13.15" customHeight="1">
      <c r="A662" s="22"/>
      <c r="B662" t="s">
        <v>17</v>
      </c>
      <c r="G662" s="1404" t="str">
        <f t="shared" si="50"/>
        <v>Juan Garcia</v>
      </c>
      <c r="H662" s="1404"/>
      <c r="I662" s="1404"/>
      <c r="J662" s="1404"/>
      <c r="K662" s="1404"/>
      <c r="L662" s="1404"/>
      <c r="M662" s="1404"/>
      <c r="N662" s="1404"/>
      <c r="O662" s="1404"/>
      <c r="P662" s="1404"/>
      <c r="Q662" s="1404"/>
      <c r="R662" s="1404"/>
      <c r="T662" s="22"/>
      <c r="U662" t="s">
        <v>17</v>
      </c>
      <c r="Z662" s="1405" t="str">
        <f t="shared" si="51"/>
        <v>Juan Garcia</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4"/>
        <v>#VALUE!</v>
      </c>
      <c r="DY662" s="1473"/>
      <c r="DZ662" s="1473"/>
      <c r="EA662" s="1473"/>
      <c r="EB662" s="1473"/>
      <c r="EC662" s="1473" t="e">
        <f t="shared" si="45"/>
        <v>#VALUE!</v>
      </c>
      <c r="ED662" s="1473"/>
      <c r="EE662" s="1473"/>
      <c r="EF662" s="1473"/>
      <c r="EG662" s="1473"/>
      <c r="EH662" s="1473" t="e">
        <f t="shared" si="46"/>
        <v>#VALUE!</v>
      </c>
      <c r="EI662" s="1473"/>
      <c r="EJ662" s="1473"/>
      <c r="EK662" s="1473"/>
      <c r="EL662" s="1473"/>
      <c r="EM662" s="1473" t="e">
        <f t="shared" si="47"/>
        <v>#VALUE!</v>
      </c>
      <c r="EN662" s="1473"/>
      <c r="EO662" s="1473"/>
      <c r="EP662" s="1473"/>
      <c r="EQ662" s="1473"/>
      <c r="ER662" s="1473" t="e">
        <f t="shared" si="48"/>
        <v>#VALUE!</v>
      </c>
      <c r="ES662" s="1473"/>
      <c r="ET662" s="1473"/>
      <c r="EU662" s="1473"/>
      <c r="EV662" s="1473"/>
      <c r="EW662" s="1473" t="e">
        <f t="shared" si="49"/>
        <v>#VALUE!</v>
      </c>
      <c r="EX662" s="1473"/>
      <c r="EY662" s="1473"/>
      <c r="EZ662" s="1473"/>
      <c r="FA662" s="1473"/>
    </row>
    <row r="663" spans="1:157" ht="13.15" customHeight="1">
      <c r="A663" s="22"/>
      <c r="B663" t="s">
        <v>317</v>
      </c>
      <c r="G663" s="1474" t="str">
        <f>G589</f>
        <v>951-955-8126</v>
      </c>
      <c r="H663" s="1474"/>
      <c r="I663" s="1474"/>
      <c r="J663" s="1474"/>
      <c r="K663" s="1474"/>
      <c r="L663" s="1474"/>
      <c r="O663" s="33" t="s">
        <v>207</v>
      </c>
      <c r="P663" s="1487"/>
      <c r="Q663" s="1487"/>
      <c r="R663" s="1487"/>
      <c r="T663" s="22"/>
      <c r="U663" t="s">
        <v>317</v>
      </c>
      <c r="Z663" s="1474" t="str">
        <f>Z589</f>
        <v>951-955-8126</v>
      </c>
      <c r="AA663" s="1474"/>
      <c r="AB663" s="1474"/>
      <c r="AC663" s="1474"/>
      <c r="AD663" s="1474"/>
      <c r="AE663" s="1474"/>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4"/>
        <v>#VALUE!</v>
      </c>
      <c r="DY663" s="1473"/>
      <c r="DZ663" s="1473"/>
      <c r="EA663" s="1473"/>
      <c r="EB663" s="1473"/>
      <c r="EC663" s="1473" t="e">
        <f t="shared" si="45"/>
        <v>#VALUE!</v>
      </c>
      <c r="ED663" s="1473"/>
      <c r="EE663" s="1473"/>
      <c r="EF663" s="1473"/>
      <c r="EG663" s="1473"/>
      <c r="EH663" s="1473" t="e">
        <f t="shared" si="46"/>
        <v>#VALUE!</v>
      </c>
      <c r="EI663" s="1473"/>
      <c r="EJ663" s="1473"/>
      <c r="EK663" s="1473"/>
      <c r="EL663" s="1473"/>
      <c r="EM663" s="1473" t="e">
        <f t="shared" si="47"/>
        <v>#VALUE!</v>
      </c>
      <c r="EN663" s="1473"/>
      <c r="EO663" s="1473"/>
      <c r="EP663" s="1473"/>
      <c r="EQ663" s="1473"/>
      <c r="ER663" s="1473" t="e">
        <f t="shared" si="48"/>
        <v>#VALUE!</v>
      </c>
      <c r="ES663" s="1473"/>
      <c r="ET663" s="1473"/>
      <c r="EU663" s="1473"/>
      <c r="EV663" s="1473"/>
      <c r="EW663" s="1473" t="e">
        <f t="shared" si="49"/>
        <v>#VALUE!</v>
      </c>
      <c r="EX663" s="1473"/>
      <c r="EY663" s="1473"/>
      <c r="EZ663" s="1473"/>
      <c r="FA663" s="1473"/>
    </row>
    <row r="664" spans="1:157" ht="13.15" customHeight="1">
      <c r="A664" s="22"/>
      <c r="B664" t="s">
        <v>18</v>
      </c>
      <c r="H664" s="1404" t="str">
        <f>H590</f>
        <v>Residual Receipts Loan</v>
      </c>
      <c r="I664" s="1404"/>
      <c r="J664" s="1404"/>
      <c r="K664" s="1404"/>
      <c r="L664" s="1404"/>
      <c r="M664" s="1404"/>
      <c r="N664" s="1404"/>
      <c r="O664" s="1404"/>
      <c r="P664" s="1404"/>
      <c r="Q664" s="1404"/>
      <c r="R664" s="1404"/>
      <c r="T664" s="22"/>
      <c r="U664" t="s">
        <v>18</v>
      </c>
      <c r="AA664" s="1404" t="str">
        <f>AA590</f>
        <v>Residual Receipts Loan</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4"/>
        <v>#VALUE!</v>
      </c>
      <c r="DY664" s="1473"/>
      <c r="DZ664" s="1473"/>
      <c r="EA664" s="1473"/>
      <c r="EB664" s="1473"/>
      <c r="EC664" s="1473" t="e">
        <f t="shared" si="45"/>
        <v>#VALUE!</v>
      </c>
      <c r="ED664" s="1473"/>
      <c r="EE664" s="1473"/>
      <c r="EF664" s="1473"/>
      <c r="EG664" s="1473"/>
      <c r="EH664" s="1473" t="e">
        <f t="shared" si="46"/>
        <v>#VALUE!</v>
      </c>
      <c r="EI664" s="1473"/>
      <c r="EJ664" s="1473"/>
      <c r="EK664" s="1473"/>
      <c r="EL664" s="1473"/>
      <c r="EM664" s="1473" t="e">
        <f t="shared" si="47"/>
        <v>#VALUE!</v>
      </c>
      <c r="EN664" s="1473"/>
      <c r="EO664" s="1473"/>
      <c r="EP664" s="1473"/>
      <c r="EQ664" s="1473"/>
      <c r="ER664" s="1473" t="e">
        <f t="shared" si="48"/>
        <v>#VALUE!</v>
      </c>
      <c r="ES664" s="1473"/>
      <c r="ET664" s="1473"/>
      <c r="EU664" s="1473"/>
      <c r="EV664" s="1473"/>
      <c r="EW664" s="1473" t="e">
        <f t="shared" si="49"/>
        <v>#VALUE!</v>
      </c>
      <c r="EX664" s="1473"/>
      <c r="EY664" s="1473"/>
      <c r="EZ664" s="1473"/>
      <c r="FA664" s="1473"/>
    </row>
    <row r="665" spans="1:157" ht="13.15" customHeight="1">
      <c r="A665" s="22"/>
      <c r="B665" t="s">
        <v>20</v>
      </c>
      <c r="N665" s="1403" t="s">
        <v>553</v>
      </c>
      <c r="O665" s="1403"/>
      <c r="T665" s="22"/>
      <c r="U665" t="s">
        <v>20</v>
      </c>
      <c r="AG665" s="1403" t="s">
        <v>553</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4"/>
        <v>#VALUE!</v>
      </c>
      <c r="DY665" s="1473"/>
      <c r="DZ665" s="1473"/>
      <c r="EA665" s="1473"/>
      <c r="EB665" s="1473"/>
      <c r="EC665" s="1473" t="e">
        <f t="shared" si="45"/>
        <v>#VALUE!</v>
      </c>
      <c r="ED665" s="1473"/>
      <c r="EE665" s="1473"/>
      <c r="EF665" s="1473"/>
      <c r="EG665" s="1473"/>
      <c r="EH665" s="1473" t="e">
        <f t="shared" si="46"/>
        <v>#VALUE!</v>
      </c>
      <c r="EI665" s="1473"/>
      <c r="EJ665" s="1473"/>
      <c r="EK665" s="1473"/>
      <c r="EL665" s="1473"/>
      <c r="EM665" s="1473" t="e">
        <f t="shared" si="47"/>
        <v>#VALUE!</v>
      </c>
      <c r="EN665" s="1473"/>
      <c r="EO665" s="1473"/>
      <c r="EP665" s="1473"/>
      <c r="EQ665" s="1473"/>
      <c r="ER665" s="1473" t="e">
        <f t="shared" si="48"/>
        <v>#VALUE!</v>
      </c>
      <c r="ES665" s="1473"/>
      <c r="ET665" s="1473"/>
      <c r="EU665" s="1473"/>
      <c r="EV665" s="1473"/>
      <c r="EW665" s="1473" t="e">
        <f t="shared" si="49"/>
        <v>#VALUE!</v>
      </c>
      <c r="EX665" s="1473"/>
      <c r="EY665" s="1473"/>
      <c r="EZ665" s="1473"/>
      <c r="FA665" s="1473"/>
    </row>
    <row r="666" spans="1:157" ht="13.1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4"/>
        <v>#VALUE!</v>
      </c>
      <c r="DY666" s="1473"/>
      <c r="DZ666" s="1473"/>
      <c r="EA666" s="1473"/>
      <c r="EB666" s="1473"/>
      <c r="EC666" s="1473" t="e">
        <f t="shared" si="45"/>
        <v>#VALUE!</v>
      </c>
      <c r="ED666" s="1473"/>
      <c r="EE666" s="1473"/>
      <c r="EF666" s="1473"/>
      <c r="EG666" s="1473"/>
      <c r="EH666" s="1473" t="e">
        <f t="shared" si="46"/>
        <v>#VALUE!</v>
      </c>
      <c r="EI666" s="1473"/>
      <c r="EJ666" s="1473"/>
      <c r="EK666" s="1473"/>
      <c r="EL666" s="1473"/>
      <c r="EM666" s="1473" t="e">
        <f t="shared" si="47"/>
        <v>#VALUE!</v>
      </c>
      <c r="EN666" s="1473"/>
      <c r="EO666" s="1473"/>
      <c r="EP666" s="1473"/>
      <c r="EQ666" s="1473"/>
      <c r="ER666" s="1473" t="e">
        <f t="shared" si="48"/>
        <v>#VALUE!</v>
      </c>
      <c r="ES666" s="1473"/>
      <c r="ET666" s="1473"/>
      <c r="EU666" s="1473"/>
      <c r="EV666" s="1473"/>
      <c r="EW666" s="1473" t="e">
        <f t="shared" si="49"/>
        <v>#VALUE!</v>
      </c>
      <c r="EX666" s="1473"/>
      <c r="EY666" s="1473"/>
      <c r="EZ666" s="1473"/>
      <c r="FA666" s="1473"/>
    </row>
    <row r="667" spans="1:157" ht="13.15" customHeight="1">
      <c r="A667" s="55" t="s">
        <v>463</v>
      </c>
      <c r="B667" t="s">
        <v>471</v>
      </c>
      <c r="G667" s="1449" t="str">
        <f>C633</f>
        <v>Deferred Developer Fee</v>
      </c>
      <c r="H667" s="1449"/>
      <c r="I667" s="1449"/>
      <c r="J667" s="1449"/>
      <c r="K667" s="1449"/>
      <c r="L667" s="1449"/>
      <c r="M667" s="1449"/>
      <c r="N667" s="1449"/>
      <c r="O667" s="1449"/>
      <c r="P667" s="1449"/>
      <c r="Q667" s="1449"/>
      <c r="R667" s="1449"/>
      <c r="T667" s="55" t="s">
        <v>464</v>
      </c>
      <c r="U667" t="s">
        <v>471</v>
      </c>
      <c r="Z667" s="1449" t="str">
        <f>C634</f>
        <v>GP Capital</v>
      </c>
      <c r="AA667" s="1449"/>
      <c r="AB667" s="1449"/>
      <c r="AC667" s="1449"/>
      <c r="AD667" s="1449"/>
      <c r="AE667" s="1449"/>
      <c r="AF667" s="1449"/>
      <c r="AG667" s="1449"/>
      <c r="AH667" s="1449"/>
      <c r="AI667" s="1449"/>
      <c r="AJ667" s="1449"/>
      <c r="AK667" s="1449"/>
      <c r="AZ667" s="3"/>
      <c r="BA667" s="118">
        <f t="shared" ref="BA667:BA699" si="52">IF($G718=0,"N/A",VLOOKUP($T$189,TC_Rent,(MATCH($B718,bedrooms,FALSE))))</f>
        <v>1748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4"/>
        <v>#VALUE!</v>
      </c>
      <c r="DY667" s="1473"/>
      <c r="DZ667" s="1473"/>
      <c r="EA667" s="1473"/>
      <c r="EB667" s="1473"/>
      <c r="EC667" s="1473" t="e">
        <f t="shared" si="45"/>
        <v>#VALUE!</v>
      </c>
      <c r="ED667" s="1473"/>
      <c r="EE667" s="1473"/>
      <c r="EF667" s="1473"/>
      <c r="EG667" s="1473"/>
      <c r="EH667" s="1473" t="e">
        <f t="shared" si="46"/>
        <v>#VALUE!</v>
      </c>
      <c r="EI667" s="1473"/>
      <c r="EJ667" s="1473"/>
      <c r="EK667" s="1473"/>
      <c r="EL667" s="1473"/>
      <c r="EM667" s="1473" t="e">
        <f t="shared" si="47"/>
        <v>#VALUE!</v>
      </c>
      <c r="EN667" s="1473"/>
      <c r="EO667" s="1473"/>
      <c r="EP667" s="1473"/>
      <c r="EQ667" s="1473"/>
      <c r="ER667" s="1473" t="e">
        <f t="shared" si="48"/>
        <v>#VALUE!</v>
      </c>
      <c r="ES667" s="1473"/>
      <c r="ET667" s="1473"/>
      <c r="EU667" s="1473"/>
      <c r="EV667" s="1473"/>
      <c r="EW667" s="1473" t="e">
        <f t="shared" si="49"/>
        <v>#VALUE!</v>
      </c>
      <c r="EX667" s="1473"/>
      <c r="EY667" s="1473"/>
      <c r="EZ667" s="1473"/>
      <c r="FA667" s="1473"/>
    </row>
    <row r="668" spans="1:157" ht="13.15" customHeight="1">
      <c r="A668" s="22"/>
      <c r="B668" t="s">
        <v>85</v>
      </c>
      <c r="G668" s="1404" t="s">
        <v>2644</v>
      </c>
      <c r="H668" s="1404"/>
      <c r="I668" s="1404"/>
      <c r="J668" s="1404"/>
      <c r="K668" s="1404"/>
      <c r="L668" s="1404"/>
      <c r="M668" s="1404"/>
      <c r="N668" s="1404"/>
      <c r="O668" s="1404"/>
      <c r="P668" s="1404"/>
      <c r="Q668" s="1404"/>
      <c r="R668" s="1404"/>
      <c r="T668" s="22"/>
      <c r="U668" t="s">
        <v>85</v>
      </c>
      <c r="Z668" s="1404" t="s">
        <v>2644</v>
      </c>
      <c r="AA668" s="1404"/>
      <c r="AB668" s="1404"/>
      <c r="AC668" s="1404"/>
      <c r="AD668" s="1404"/>
      <c r="AE668" s="1404"/>
      <c r="AF668" s="1404"/>
      <c r="AG668" s="1404"/>
      <c r="AH668" s="1404"/>
      <c r="AI668" s="1404"/>
      <c r="AJ668" s="1404"/>
      <c r="AK668" s="1404"/>
      <c r="AZ668" s="3"/>
      <c r="BA668" s="118">
        <f t="shared" si="52"/>
        <v>2096</v>
      </c>
      <c r="BB668" s="3"/>
      <c r="BC668" s="3"/>
      <c r="BD668" s="3"/>
      <c r="BE668" s="3"/>
      <c r="BF668" s="218"/>
      <c r="BG668" s="315">
        <f t="shared" ref="BG668:BG700" si="53">G718</f>
        <v>16</v>
      </c>
      <c r="BH668" s="319">
        <f t="shared" ref="BH668:BH702" si="54">IF($BG$703=0,0,BG668/$BG$703)</f>
        <v>0.19277108433734941</v>
      </c>
      <c r="BI668" s="320">
        <f t="shared" ref="BI668:BI691" si="55">IF(BH668=0,"",BH668*AC718)</f>
        <v>5.7831325301204821E-2</v>
      </c>
      <c r="BJ668" s="3"/>
      <c r="BK668" s="3"/>
      <c r="BL668" s="3"/>
      <c r="BM668" s="3"/>
      <c r="BN668" s="3"/>
      <c r="BO668" s="3"/>
      <c r="BT668" s="315">
        <f t="shared" ref="BT668:BT700" si="56">G718</f>
        <v>16</v>
      </c>
      <c r="BU668" s="319">
        <f t="shared" ref="BU668:BU702" si="57">IF($BT$703=0,0,BT668/$BT$703)</f>
        <v>0.19277108433734941</v>
      </c>
      <c r="BV668" s="320">
        <f t="shared" ref="BV668:BV700" si="58">IF(BU668=0,"",BU668*AH718)</f>
        <v>5.7787212924926251E-2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3.15" customHeight="1">
      <c r="A669" s="22"/>
      <c r="B669" t="s">
        <v>588</v>
      </c>
      <c r="G669" s="1404" t="s">
        <v>502</v>
      </c>
      <c r="H669" s="1404"/>
      <c r="I669" s="1404"/>
      <c r="J669" s="1404"/>
      <c r="K669" s="1404"/>
      <c r="L669" s="1404"/>
      <c r="M669" s="1404"/>
      <c r="N669" s="1404"/>
      <c r="O669" s="1404"/>
      <c r="P669" s="1404"/>
      <c r="Q669" s="1404"/>
      <c r="R669" s="1404"/>
      <c r="T669" s="22"/>
      <c r="U669" t="s">
        <v>588</v>
      </c>
      <c r="Z669" s="1405" t="s">
        <v>502</v>
      </c>
      <c r="AA669" s="1405"/>
      <c r="AB669" s="1405"/>
      <c r="AC669" s="1405"/>
      <c r="AD669" s="1405"/>
      <c r="AE669" s="1405"/>
      <c r="AF669" s="1405"/>
      <c r="AG669" s="1405"/>
      <c r="AH669" s="1405"/>
      <c r="AI669" s="1405"/>
      <c r="AJ669" s="1405"/>
      <c r="AK669" s="1405"/>
      <c r="AZ669" s="3"/>
      <c r="BA669" s="118">
        <f t="shared" si="52"/>
        <v>2422</v>
      </c>
      <c r="BB669" s="3"/>
      <c r="BC669" s="3"/>
      <c r="BD669" s="3"/>
      <c r="BE669" s="3"/>
      <c r="BF669" s="218"/>
      <c r="BG669" s="316">
        <f t="shared" si="53"/>
        <v>30</v>
      </c>
      <c r="BH669" s="319">
        <f t="shared" si="54"/>
        <v>0.36144578313253012</v>
      </c>
      <c r="BI669" s="320">
        <f t="shared" si="55"/>
        <v>0.10843373493975904</v>
      </c>
      <c r="BJ669" s="3"/>
      <c r="BK669" s="3"/>
      <c r="BL669" s="3"/>
      <c r="BM669" s="3"/>
      <c r="BN669" s="3"/>
      <c r="BO669" s="3"/>
      <c r="BT669" s="316">
        <f t="shared" si="56"/>
        <v>30</v>
      </c>
      <c r="BU669" s="319">
        <f t="shared" si="57"/>
        <v>0.36144578313253012</v>
      </c>
      <c r="BV669" s="320">
        <f t="shared" si="58"/>
        <v>0.10846822404120297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3.15" customHeight="1">
      <c r="A670" s="22"/>
      <c r="B670" t="s">
        <v>17</v>
      </c>
      <c r="G670" s="1404" t="s">
        <v>2646</v>
      </c>
      <c r="H670" s="1404"/>
      <c r="I670" s="1404"/>
      <c r="J670" s="1404"/>
      <c r="K670" s="1404"/>
      <c r="L670" s="1404"/>
      <c r="M670" s="1404"/>
      <c r="N670" s="1404"/>
      <c r="O670" s="1404"/>
      <c r="P670" s="1404"/>
      <c r="Q670" s="1404"/>
      <c r="R670" s="1404"/>
      <c r="T670" s="22"/>
      <c r="U670" t="s">
        <v>17</v>
      </c>
      <c r="Z670" s="1405" t="s">
        <v>2646</v>
      </c>
      <c r="AA670" s="1405"/>
      <c r="AB670" s="1405"/>
      <c r="AC670" s="1405"/>
      <c r="AD670" s="1405"/>
      <c r="AE670" s="1405"/>
      <c r="AF670" s="1405"/>
      <c r="AG670" s="1405"/>
      <c r="AH670" s="1405"/>
      <c r="AI670" s="1405"/>
      <c r="AJ670" s="1405"/>
      <c r="AK670" s="1405"/>
      <c r="AZ670" s="3"/>
      <c r="BA670" s="118" t="str">
        <f t="shared" si="52"/>
        <v>N/A</v>
      </c>
      <c r="BB670" s="3"/>
      <c r="BC670" s="3"/>
      <c r="BD670" s="3"/>
      <c r="BE670" s="3"/>
      <c r="BF670" s="218"/>
      <c r="BG670" s="316">
        <f t="shared" si="53"/>
        <v>4</v>
      </c>
      <c r="BH670" s="319">
        <f t="shared" si="54"/>
        <v>4.8192771084337352E-2</v>
      </c>
      <c r="BI670" s="320">
        <f t="shared" si="55"/>
        <v>1.4457831325301205E-2</v>
      </c>
      <c r="BJ670" s="3"/>
      <c r="BK670" s="3"/>
      <c r="BL670" s="3"/>
      <c r="BM670" s="3"/>
      <c r="BN670" s="3"/>
      <c r="BO670" s="3"/>
      <c r="BT670" s="316">
        <f t="shared" si="56"/>
        <v>4</v>
      </c>
      <c r="BU670" s="319">
        <f t="shared" si="57"/>
        <v>4.8192771084337352E-2</v>
      </c>
      <c r="BV670" s="320">
        <f t="shared" si="58"/>
        <v>1.4465790494761873E-2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0</v>
      </c>
      <c r="DY670" s="1473"/>
      <c r="DZ670" s="1473"/>
      <c r="EA670" s="1473"/>
      <c r="EB670" s="1473"/>
      <c r="EC670" s="1473">
        <f>SUMIF(EC635:EG669,"&gt;0")</f>
        <v>466</v>
      </c>
      <c r="ED670" s="1473"/>
      <c r="EE670" s="1473"/>
      <c r="EF670" s="1473"/>
      <c r="EG670" s="1473"/>
      <c r="EH670" s="1473">
        <f>SUMIF(EH635:EL669,"&gt;0")</f>
        <v>646.69230769230774</v>
      </c>
      <c r="EI670" s="1473"/>
      <c r="EJ670" s="1473"/>
      <c r="EK670" s="1473"/>
      <c r="EL670" s="1473"/>
      <c r="EM670" s="1473">
        <f>SUMIF(EM635:EQ669,"&gt;0")</f>
        <v>1041.8571428571427</v>
      </c>
      <c r="EN670" s="1473"/>
      <c r="EO670" s="1473"/>
      <c r="EP670" s="1473"/>
      <c r="EQ670" s="1473"/>
      <c r="ER670" s="1473">
        <f>SUMIF(ER635:EV669,"&gt;0")</f>
        <v>0</v>
      </c>
      <c r="ES670" s="1473"/>
      <c r="ET670" s="1473"/>
      <c r="EU670" s="1473"/>
      <c r="EV670" s="1473"/>
      <c r="EW670" s="1473">
        <f>SUMIF(EW635:FA669,"&gt;0")</f>
        <v>0</v>
      </c>
      <c r="EX670" s="1473"/>
      <c r="EY670" s="1473"/>
      <c r="EZ670" s="1473"/>
      <c r="FA670" s="1473"/>
    </row>
    <row r="671" spans="1:157" ht="13.15" customHeight="1">
      <c r="A671" s="22"/>
      <c r="B671" t="s">
        <v>317</v>
      </c>
      <c r="G671" s="1474" t="s">
        <v>2647</v>
      </c>
      <c r="H671" s="1474"/>
      <c r="I671" s="1474"/>
      <c r="J671" s="1474"/>
      <c r="K671" s="1474"/>
      <c r="L671" s="1474"/>
      <c r="O671" s="33" t="s">
        <v>207</v>
      </c>
      <c r="P671" s="1487"/>
      <c r="Q671" s="1487"/>
      <c r="R671" s="1487"/>
      <c r="T671" s="22"/>
      <c r="U671" t="s">
        <v>317</v>
      </c>
      <c r="Z671" s="1474" t="s">
        <v>2647</v>
      </c>
      <c r="AA671" s="1474"/>
      <c r="AB671" s="1474"/>
      <c r="AC671" s="1474"/>
      <c r="AD671" s="1474"/>
      <c r="AE671" s="1474"/>
      <c r="AH671" s="33" t="s">
        <v>207</v>
      </c>
      <c r="AI671" s="1487"/>
      <c r="AJ671" s="1487"/>
      <c r="AK671" s="1487"/>
      <c r="AZ671" s="3"/>
      <c r="BA671" s="118">
        <f t="shared" si="52"/>
        <v>2096</v>
      </c>
      <c r="BB671" s="3"/>
      <c r="BC671" s="3"/>
      <c r="BD671" s="3"/>
      <c r="BE671" s="3"/>
      <c r="BF671" s="218"/>
      <c r="BG671" s="316">
        <f t="shared" si="53"/>
        <v>0</v>
      </c>
      <c r="BH671" s="319">
        <f t="shared" si="54"/>
        <v>0</v>
      </c>
      <c r="BI671" s="320" t="str">
        <f t="shared" si="55"/>
        <v/>
      </c>
      <c r="BJ671" s="3"/>
      <c r="BK671" s="3"/>
      <c r="BL671" s="3"/>
      <c r="BM671" s="3"/>
      <c r="BN671" s="3"/>
      <c r="BO671" s="3"/>
      <c r="BT671" s="316">
        <f t="shared" si="56"/>
        <v>0</v>
      </c>
      <c r="BU671" s="319">
        <f t="shared" si="57"/>
        <v>0</v>
      </c>
      <c r="BV671" s="320" t="str">
        <f t="shared" si="58"/>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04" t="s">
        <v>2788</v>
      </c>
      <c r="I672" s="1404"/>
      <c r="J672" s="1404"/>
      <c r="K672" s="1404"/>
      <c r="L672" s="1404"/>
      <c r="M672" s="1404"/>
      <c r="N672" s="1404"/>
      <c r="O672" s="1404"/>
      <c r="P672" s="1404"/>
      <c r="Q672" s="1404"/>
      <c r="R672" s="1404"/>
      <c r="T672" s="22"/>
      <c r="U672" t="s">
        <v>18</v>
      </c>
      <c r="AA672" s="1404" t="s">
        <v>2765</v>
      </c>
      <c r="AB672" s="1404"/>
      <c r="AC672" s="1404"/>
      <c r="AD672" s="1404"/>
      <c r="AE672" s="1404"/>
      <c r="AF672" s="1404"/>
      <c r="AG672" s="1404"/>
      <c r="AH672" s="1404"/>
      <c r="AI672" s="1404"/>
      <c r="AJ672" s="1404"/>
      <c r="AK672" s="1404"/>
      <c r="AZ672" s="3"/>
      <c r="BA672" s="118">
        <f t="shared" si="52"/>
        <v>2422</v>
      </c>
      <c r="BB672" s="3"/>
      <c r="BC672" s="3"/>
      <c r="BD672" s="3"/>
      <c r="BE672" s="3"/>
      <c r="BF672" s="218"/>
      <c r="BG672" s="316">
        <f t="shared" si="53"/>
        <v>9</v>
      </c>
      <c r="BH672" s="319">
        <f t="shared" si="54"/>
        <v>0.10843373493975904</v>
      </c>
      <c r="BI672" s="320">
        <f t="shared" si="55"/>
        <v>5.4216867469879519E-2</v>
      </c>
      <c r="BJ672" s="3"/>
      <c r="BK672" s="3"/>
      <c r="BL672" s="3"/>
      <c r="BM672" s="3"/>
      <c r="BN672" s="3"/>
      <c r="BO672" s="3"/>
      <c r="BT672" s="316">
        <f t="shared" si="56"/>
        <v>9</v>
      </c>
      <c r="BU672" s="319">
        <f t="shared" si="57"/>
        <v>0.10843373493975904</v>
      </c>
      <c r="BV672" s="320">
        <f t="shared" si="58"/>
        <v>5.4216867469879519E-2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403" t="s">
        <v>553</v>
      </c>
      <c r="O673" s="1403"/>
      <c r="T673" s="22"/>
      <c r="U673" t="s">
        <v>20</v>
      </c>
      <c r="AG673" s="1403" t="s">
        <v>553</v>
      </c>
      <c r="AH673" s="1403"/>
      <c r="AZ673" s="3"/>
      <c r="BA673" s="118">
        <f t="shared" si="52"/>
        <v>2422</v>
      </c>
      <c r="BB673" s="3"/>
      <c r="BC673" s="3"/>
      <c r="BD673" s="3"/>
      <c r="BE673" s="3"/>
      <c r="BF673" s="218"/>
      <c r="BG673" s="316">
        <f t="shared" si="53"/>
        <v>12</v>
      </c>
      <c r="BH673" s="319">
        <f t="shared" si="54"/>
        <v>0.14457831325301204</v>
      </c>
      <c r="BI673" s="320">
        <f t="shared" si="55"/>
        <v>7.2289156626506021E-2</v>
      </c>
      <c r="BJ673" s="3"/>
      <c r="BK673" s="3"/>
      <c r="BL673" s="3"/>
      <c r="BM673" s="3"/>
      <c r="BN673" s="3"/>
      <c r="BO673" s="3"/>
      <c r="BT673" s="316">
        <f t="shared" si="56"/>
        <v>12</v>
      </c>
      <c r="BU673" s="319">
        <f t="shared" si="57"/>
        <v>0.14457831325301204</v>
      </c>
      <c r="BV673" s="320">
        <f t="shared" si="58"/>
        <v>7.2289156626506021E-2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t="str">
        <f t="shared" si="52"/>
        <v>N/A</v>
      </c>
      <c r="BB674" s="3"/>
      <c r="BC674" s="3"/>
      <c r="BD674" s="3"/>
      <c r="BE674" s="3"/>
      <c r="BF674" s="218"/>
      <c r="BG674" s="316">
        <f t="shared" si="53"/>
        <v>12</v>
      </c>
      <c r="BH674" s="319">
        <f t="shared" si="54"/>
        <v>0.14457831325301204</v>
      </c>
      <c r="BI674" s="320">
        <f t="shared" si="55"/>
        <v>7.2289156626506021E-2</v>
      </c>
      <c r="BJ674" s="3"/>
      <c r="BK674" s="3"/>
      <c r="BL674" s="3"/>
      <c r="BM674" s="3"/>
      <c r="BN674" s="3"/>
      <c r="BO674" s="3"/>
      <c r="BT674" s="316">
        <f t="shared" si="56"/>
        <v>12</v>
      </c>
      <c r="BU674" s="319">
        <f t="shared" si="57"/>
        <v>0.14457831325301204</v>
      </c>
      <c r="BV674" s="320">
        <f t="shared" si="58"/>
        <v>7.2289156626506021E-2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469</v>
      </c>
      <c r="B675" t="s">
        <v>471</v>
      </c>
      <c r="G675" s="1449">
        <f>C635</f>
        <v>0</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t="str">
        <f t="shared" si="52"/>
        <v>N/A</v>
      </c>
      <c r="BB675" s="3"/>
      <c r="BC675" s="3"/>
      <c r="BD675" s="3"/>
      <c r="BE675" s="3"/>
      <c r="BF675" s="218"/>
      <c r="BG675" s="316">
        <f t="shared" si="53"/>
        <v>0</v>
      </c>
      <c r="BH675" s="319">
        <f t="shared" si="54"/>
        <v>0</v>
      </c>
      <c r="BI675" s="320" t="str">
        <f t="shared" si="55"/>
        <v/>
      </c>
      <c r="BJ675" s="3"/>
      <c r="BK675" s="3"/>
      <c r="BL675" s="3"/>
      <c r="BM675" s="3"/>
      <c r="BN675" s="3"/>
      <c r="BO675" s="3"/>
      <c r="BT675" s="316">
        <f t="shared" si="56"/>
        <v>0</v>
      </c>
      <c r="BU675" s="319">
        <f t="shared" si="57"/>
        <v>0</v>
      </c>
      <c r="BV675" s="320" t="str">
        <f t="shared" si="58"/>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52"/>
        <v>N/A</v>
      </c>
      <c r="BB676" s="3"/>
      <c r="BC676" s="3"/>
      <c r="BD676" s="3"/>
      <c r="BE676" s="3"/>
      <c r="BF676" s="218"/>
      <c r="BG676" s="316">
        <f t="shared" si="53"/>
        <v>0</v>
      </c>
      <c r="BH676" s="319">
        <f t="shared" si="54"/>
        <v>0</v>
      </c>
      <c r="BI676" s="320" t="str">
        <f t="shared" si="55"/>
        <v/>
      </c>
      <c r="BJ676" s="3"/>
      <c r="BK676" s="3"/>
      <c r="BL676" s="3"/>
      <c r="BM676" s="3"/>
      <c r="BN676" s="3"/>
      <c r="BO676" s="3"/>
      <c r="BT676" s="316">
        <f t="shared" si="56"/>
        <v>0</v>
      </c>
      <c r="BU676" s="319">
        <f t="shared" si="57"/>
        <v>0</v>
      </c>
      <c r="BV676" s="320" t="str">
        <f t="shared" si="58"/>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588</v>
      </c>
      <c r="G677" s="1404"/>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t="str">
        <f t="shared" si="52"/>
        <v>N/A</v>
      </c>
      <c r="BB677" s="3"/>
      <c r="BC677" s="3"/>
      <c r="BD677" s="3"/>
      <c r="BE677" s="3"/>
      <c r="BF677" s="218"/>
      <c r="BG677" s="316">
        <f t="shared" si="53"/>
        <v>0</v>
      </c>
      <c r="BH677" s="319">
        <f t="shared" si="54"/>
        <v>0</v>
      </c>
      <c r="BI677" s="320" t="str">
        <f t="shared" si="55"/>
        <v/>
      </c>
      <c r="BJ677" s="3"/>
      <c r="BK677" s="3"/>
      <c r="BL677" s="3"/>
      <c r="BM677" s="3"/>
      <c r="BN677" s="3"/>
      <c r="BO677" s="3"/>
      <c r="BT677" s="316">
        <f t="shared" si="56"/>
        <v>0</v>
      </c>
      <c r="BU677" s="319">
        <f t="shared" si="57"/>
        <v>0</v>
      </c>
      <c r="BV677" s="320" t="str">
        <f t="shared" si="58"/>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52"/>
        <v>N/A</v>
      </c>
      <c r="BB678" s="3"/>
      <c r="BC678" s="3"/>
      <c r="BD678" s="3"/>
      <c r="BE678" s="3"/>
      <c r="BF678" s="218"/>
      <c r="BG678" s="316">
        <f t="shared" si="53"/>
        <v>0</v>
      </c>
      <c r="BH678" s="319">
        <f t="shared" si="54"/>
        <v>0</v>
      </c>
      <c r="BI678" s="320" t="str">
        <f t="shared" si="55"/>
        <v/>
      </c>
      <c r="BJ678" s="3"/>
      <c r="BK678" s="3"/>
      <c r="BL678" s="3"/>
      <c r="BM678" s="3"/>
      <c r="BN678" s="3"/>
      <c r="BO678" s="3"/>
      <c r="BT678" s="316">
        <f t="shared" si="56"/>
        <v>0</v>
      </c>
      <c r="BU678" s="319">
        <f t="shared" si="57"/>
        <v>0</v>
      </c>
      <c r="BV678" s="320" t="str">
        <f t="shared" si="58"/>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474"/>
      <c r="H679" s="1474"/>
      <c r="I679" s="1474"/>
      <c r="J679" s="1474"/>
      <c r="K679" s="1474"/>
      <c r="L679" s="1474"/>
      <c r="O679" s="33" t="s">
        <v>207</v>
      </c>
      <c r="P679" s="1487"/>
      <c r="Q679" s="1487"/>
      <c r="R679" s="1487"/>
      <c r="T679" s="22"/>
      <c r="U679" t="s">
        <v>317</v>
      </c>
      <c r="Z679" s="1474"/>
      <c r="AA679" s="1474"/>
      <c r="AB679" s="1474"/>
      <c r="AC679" s="1474"/>
      <c r="AD679" s="1474"/>
      <c r="AE679" s="1474"/>
      <c r="AH679" s="33" t="s">
        <v>207</v>
      </c>
      <c r="AI679" s="1487"/>
      <c r="AJ679" s="1487"/>
      <c r="AK679" s="1487"/>
      <c r="AZ679" s="3"/>
      <c r="BA679" s="118" t="str">
        <f t="shared" si="52"/>
        <v>N/A</v>
      </c>
      <c r="BB679" s="3"/>
      <c r="BC679" s="3"/>
      <c r="BD679" s="3"/>
      <c r="BE679" s="3"/>
      <c r="BF679" s="218"/>
      <c r="BG679" s="316">
        <f t="shared" si="53"/>
        <v>0</v>
      </c>
      <c r="BH679" s="319">
        <f t="shared" si="54"/>
        <v>0</v>
      </c>
      <c r="BI679" s="320" t="str">
        <f t="shared" si="55"/>
        <v/>
      </c>
      <c r="BJ679" s="3"/>
      <c r="BK679" s="3"/>
      <c r="BL679" s="3"/>
      <c r="BM679" s="3"/>
      <c r="BN679" s="3"/>
      <c r="BO679" s="3"/>
      <c r="BT679" s="316">
        <f t="shared" si="56"/>
        <v>0</v>
      </c>
      <c r="BU679" s="319">
        <f t="shared" si="57"/>
        <v>0</v>
      </c>
      <c r="BV679" s="320" t="str">
        <f t="shared" si="58"/>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52"/>
        <v>N/A</v>
      </c>
      <c r="BB680" s="3"/>
      <c r="BC680" s="3"/>
      <c r="BD680" s="3"/>
      <c r="BE680" s="3"/>
      <c r="BF680" s="218"/>
      <c r="BG680" s="316">
        <f t="shared" si="53"/>
        <v>0</v>
      </c>
      <c r="BH680" s="319">
        <f t="shared" si="54"/>
        <v>0</v>
      </c>
      <c r="BI680" s="320" t="str">
        <f t="shared" si="55"/>
        <v/>
      </c>
      <c r="BJ680" s="3"/>
      <c r="BK680" s="3"/>
      <c r="BL680" s="3"/>
      <c r="BM680" s="3"/>
      <c r="BN680" s="3"/>
      <c r="BO680" s="3"/>
      <c r="BT680" s="316">
        <f t="shared" si="56"/>
        <v>0</v>
      </c>
      <c r="BU680" s="319">
        <f t="shared" si="57"/>
        <v>0</v>
      </c>
      <c r="BV680" s="320" t="str">
        <f t="shared" si="58"/>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403" t="s">
        <v>677</v>
      </c>
      <c r="O681" s="1403"/>
      <c r="T681" s="22"/>
      <c r="U681" t="s">
        <v>20</v>
      </c>
      <c r="AG681" s="1403" t="s">
        <v>677</v>
      </c>
      <c r="AH681" s="1403"/>
      <c r="AZ681" s="3"/>
      <c r="BA681" s="118" t="str">
        <f t="shared" si="52"/>
        <v>N/A</v>
      </c>
      <c r="BB681" s="3"/>
      <c r="BC681" s="3"/>
      <c r="BD681" s="3"/>
      <c r="BE681" s="3"/>
      <c r="BF681" s="218"/>
      <c r="BG681" s="316">
        <f t="shared" si="53"/>
        <v>0</v>
      </c>
      <c r="BH681" s="319">
        <f t="shared" si="54"/>
        <v>0</v>
      </c>
      <c r="BI681" s="320" t="str">
        <f t="shared" si="55"/>
        <v/>
      </c>
      <c r="BJ681" s="3"/>
      <c r="BK681" s="3"/>
      <c r="BL681" s="3"/>
      <c r="BM681" s="3"/>
      <c r="BN681" s="3"/>
      <c r="BO681" s="3"/>
      <c r="BT681" s="316">
        <f t="shared" si="56"/>
        <v>0</v>
      </c>
      <c r="BU681" s="319">
        <f t="shared" si="57"/>
        <v>0</v>
      </c>
      <c r="BV681" s="320"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52"/>
        <v>N/A</v>
      </c>
      <c r="BB682" s="3"/>
      <c r="BC682" s="3"/>
      <c r="BD682" s="3"/>
      <c r="BE682" s="3"/>
      <c r="BF682" s="218"/>
      <c r="BG682" s="316">
        <f t="shared" si="53"/>
        <v>0</v>
      </c>
      <c r="BH682" s="319">
        <f t="shared" si="54"/>
        <v>0</v>
      </c>
      <c r="BI682" s="320" t="str">
        <f t="shared" si="55"/>
        <v/>
      </c>
      <c r="BJ682" s="3"/>
      <c r="BK682" s="3"/>
      <c r="BL682" s="3"/>
      <c r="BM682" s="3"/>
      <c r="BN682" s="3"/>
      <c r="BO682" s="3"/>
      <c r="BT682" s="316">
        <f t="shared" si="56"/>
        <v>0</v>
      </c>
      <c r="BU682" s="319">
        <f t="shared" si="57"/>
        <v>0</v>
      </c>
      <c r="BV682" s="320"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471</v>
      </c>
      <c r="G683" s="1449">
        <f>C637</f>
        <v>0</v>
      </c>
      <c r="H683" s="1449"/>
      <c r="I683" s="1449"/>
      <c r="J683" s="1449"/>
      <c r="K683" s="1449"/>
      <c r="L683" s="1449"/>
      <c r="M683" s="1449"/>
      <c r="N683" s="1449"/>
      <c r="O683" s="1449"/>
      <c r="P683" s="1449"/>
      <c r="Q683" s="1449"/>
      <c r="R683" s="1449"/>
      <c r="T683" s="55" t="s">
        <v>364</v>
      </c>
      <c r="U683" t="s">
        <v>471</v>
      </c>
      <c r="Z683" s="1449">
        <f>C638</f>
        <v>0</v>
      </c>
      <c r="AA683" s="1449"/>
      <c r="AB683" s="1449"/>
      <c r="AC683" s="1449"/>
      <c r="AD683" s="1449"/>
      <c r="AE683" s="1449"/>
      <c r="AF683" s="1449"/>
      <c r="AG683" s="1449"/>
      <c r="AH683" s="1449"/>
      <c r="AI683" s="1449"/>
      <c r="AJ683" s="1449"/>
      <c r="AK683" s="1449"/>
      <c r="AZ683" s="3"/>
      <c r="BA683" s="118" t="str">
        <f t="shared" si="52"/>
        <v>N/A</v>
      </c>
      <c r="BB683" s="3"/>
      <c r="BC683" s="3"/>
      <c r="BD683" s="3"/>
      <c r="BE683" s="3"/>
      <c r="BF683" s="218"/>
      <c r="BG683" s="316">
        <f t="shared" si="53"/>
        <v>0</v>
      </c>
      <c r="BH683" s="319">
        <f t="shared" si="54"/>
        <v>0</v>
      </c>
      <c r="BI683" s="320" t="str">
        <f t="shared" si="55"/>
        <v/>
      </c>
      <c r="BJ683" s="3"/>
      <c r="BK683" s="3"/>
      <c r="BL683" s="3"/>
      <c r="BM683" s="3"/>
      <c r="BN683" s="3"/>
      <c r="BO683" s="3"/>
      <c r="BT683" s="316">
        <f t="shared" si="56"/>
        <v>0</v>
      </c>
      <c r="BU683" s="319">
        <f t="shared" si="57"/>
        <v>0</v>
      </c>
      <c r="BV683" s="320"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52"/>
        <v>N/A</v>
      </c>
      <c r="BB684" s="3"/>
      <c r="BC684" s="3"/>
      <c r="BD684" s="3"/>
      <c r="BE684" s="3"/>
      <c r="BF684" s="218"/>
      <c r="BG684" s="316">
        <f t="shared" si="53"/>
        <v>0</v>
      </c>
      <c r="BH684" s="319">
        <f t="shared" si="54"/>
        <v>0</v>
      </c>
      <c r="BI684" s="320" t="str">
        <f t="shared" si="55"/>
        <v/>
      </c>
      <c r="BJ684" s="3"/>
      <c r="BK684" s="3"/>
      <c r="BL684" s="3"/>
      <c r="BM684" s="3"/>
      <c r="BN684" s="3"/>
      <c r="BO684" s="3"/>
      <c r="BT684" s="316">
        <f t="shared" si="56"/>
        <v>0</v>
      </c>
      <c r="BU684" s="319">
        <f t="shared" si="57"/>
        <v>0</v>
      </c>
      <c r="BV684" s="320"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t="str">
        <f t="shared" si="52"/>
        <v>N/A</v>
      </c>
      <c r="BB685" s="3"/>
      <c r="BC685" s="3"/>
      <c r="BD685" s="3"/>
      <c r="BE685" s="3"/>
      <c r="BF685" s="218"/>
      <c r="BG685" s="316">
        <f t="shared" si="53"/>
        <v>0</v>
      </c>
      <c r="BH685" s="319">
        <f t="shared" si="54"/>
        <v>0</v>
      </c>
      <c r="BI685" s="320" t="str">
        <f t="shared" si="55"/>
        <v/>
      </c>
      <c r="BJ685" s="3"/>
      <c r="BK685" s="3"/>
      <c r="BL685" s="3"/>
      <c r="BM685" s="3"/>
      <c r="BN685" s="3"/>
      <c r="BO685" s="3"/>
      <c r="BT685" s="316">
        <f t="shared" si="56"/>
        <v>0</v>
      </c>
      <c r="BU685" s="319">
        <f t="shared" si="57"/>
        <v>0</v>
      </c>
      <c r="BV685" s="320"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52"/>
        <v>N/A</v>
      </c>
      <c r="BB686" s="3"/>
      <c r="BC686" s="3"/>
      <c r="BD686" s="3"/>
      <c r="BE686" s="3"/>
      <c r="BF686" s="218"/>
      <c r="BG686" s="316">
        <f t="shared" si="53"/>
        <v>0</v>
      </c>
      <c r="BH686" s="319">
        <f t="shared" si="54"/>
        <v>0</v>
      </c>
      <c r="BI686" s="320" t="str">
        <f t="shared" si="55"/>
        <v/>
      </c>
      <c r="BJ686" s="3"/>
      <c r="BK686" s="3"/>
      <c r="BL686" s="3"/>
      <c r="BM686" s="3"/>
      <c r="BN686" s="3"/>
      <c r="BO686" s="3"/>
      <c r="BT686" s="316">
        <f t="shared" si="56"/>
        <v>0</v>
      </c>
      <c r="BU686" s="319">
        <f t="shared" si="57"/>
        <v>0</v>
      </c>
      <c r="BV686" s="320"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474"/>
      <c r="H687" s="1474"/>
      <c r="I687" s="1474"/>
      <c r="J687" s="1474"/>
      <c r="K687" s="1474"/>
      <c r="L687" s="1474"/>
      <c r="O687" s="33" t="s">
        <v>207</v>
      </c>
      <c r="P687" s="1487"/>
      <c r="Q687" s="1487"/>
      <c r="R687" s="1487"/>
      <c r="U687" t="s">
        <v>317</v>
      </c>
      <c r="Z687" s="1474"/>
      <c r="AA687" s="1474"/>
      <c r="AB687" s="1474"/>
      <c r="AC687" s="1474"/>
      <c r="AD687" s="1474"/>
      <c r="AE687" s="1474"/>
      <c r="AH687" s="33" t="s">
        <v>207</v>
      </c>
      <c r="AI687" s="1487"/>
      <c r="AJ687" s="1487"/>
      <c r="AK687" s="1487"/>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403" t="s">
        <v>677</v>
      </c>
      <c r="O689" s="1403"/>
      <c r="U689" t="s">
        <v>20</v>
      </c>
      <c r="AG689" s="1403" t="s">
        <v>677</v>
      </c>
      <c r="AH689" s="1403"/>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584</v>
      </c>
      <c r="C691" s="2" t="s">
        <v>328</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403" t="s">
        <v>553</v>
      </c>
      <c r="AF693" s="1403"/>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403" t="s">
        <v>553</v>
      </c>
      <c r="AF694" s="1403"/>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939</v>
      </c>
      <c r="E695" s="135"/>
      <c r="F695" s="135"/>
      <c r="G695" s="135"/>
      <c r="H695" s="135"/>
      <c r="AE695" s="1476">
        <v>45405</v>
      </c>
      <c r="AF695" s="1476"/>
      <c r="AG695" s="1476"/>
      <c r="AH695" s="1476"/>
      <c r="AI695" s="1476"/>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1002</v>
      </c>
      <c r="E696" s="135"/>
      <c r="F696" s="135"/>
      <c r="G696" s="135"/>
      <c r="H696" s="135"/>
      <c r="AE696" s="1872"/>
      <c r="AF696" s="1872"/>
      <c r="AG696" s="1872"/>
      <c r="AH696" s="1872"/>
      <c r="AI696" s="1872"/>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825</v>
      </c>
      <c r="E698" s="135"/>
      <c r="F698" s="135"/>
      <c r="G698" s="135"/>
      <c r="H698" s="135"/>
      <c r="AE698" s="1476">
        <v>45762</v>
      </c>
      <c r="AF698" s="1476"/>
      <c r="AG698" s="1476"/>
      <c r="AH698" s="1476"/>
      <c r="AI698" s="1476"/>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771"/>
      <c r="AF699" s="1771"/>
      <c r="AG699" s="1771"/>
      <c r="AH699" s="1771"/>
      <c r="AI699" s="1771"/>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49" t="str">
        <f>H335</f>
        <v>California Municipal Finance Agency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403" t="s">
        <v>677</v>
      </c>
      <c r="AF702" s="1403"/>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914</v>
      </c>
      <c r="BG703" s="321">
        <f>SUM(BG668:BG702)</f>
        <v>83</v>
      </c>
      <c r="BH703" s="322">
        <f>SUM(BH668:BH702)</f>
        <v>1</v>
      </c>
      <c r="BI703" s="322">
        <f>SUM(BI668:BI702)</f>
        <v>0.37951807228915663</v>
      </c>
      <c r="BN703" s="3"/>
      <c r="BO703" s="3"/>
      <c r="BT703" s="893">
        <f>SUM(BT668:BT702)</f>
        <v>83</v>
      </c>
      <c r="BU703" s="322">
        <f>SUM(BU668:BU702)</f>
        <v>1</v>
      </c>
      <c r="BV703" s="322">
        <f>SUM(BV668:BV702)</f>
        <v>0.37951640818378268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474"/>
      <c r="K705" s="1474"/>
      <c r="L705" s="1474"/>
      <c r="M705" s="1474"/>
      <c r="N705" s="1474"/>
      <c r="O705" s="1474"/>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445</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70" t="s">
        <v>390</v>
      </c>
      <c r="C714" s="1371"/>
      <c r="D714" s="1371"/>
      <c r="E714" s="1371"/>
      <c r="F714" s="1372"/>
      <c r="G714" s="1370" t="s">
        <v>286</v>
      </c>
      <c r="H714" s="1371"/>
      <c r="I714" s="1371"/>
      <c r="J714" s="1372"/>
      <c r="K714" s="1762" t="s">
        <v>1868</v>
      </c>
      <c r="L714" s="1763"/>
      <c r="M714" s="1763"/>
      <c r="N714" s="1764"/>
      <c r="O714" s="1370" t="s">
        <v>455</v>
      </c>
      <c r="P714" s="1371"/>
      <c r="Q714" s="1371"/>
      <c r="R714" s="1371"/>
      <c r="S714" s="1372"/>
      <c r="T714" s="1475" t="s">
        <v>2252</v>
      </c>
      <c r="U714" s="1371"/>
      <c r="V714" s="1371"/>
      <c r="W714" s="1372"/>
      <c r="X714" s="1475" t="s">
        <v>2254</v>
      </c>
      <c r="Y714" s="1371"/>
      <c r="Z714" s="1371"/>
      <c r="AA714" s="1371"/>
      <c r="AB714" s="1372"/>
      <c r="AC714" s="1475" t="s">
        <v>2253</v>
      </c>
      <c r="AD714" s="1371"/>
      <c r="AE714" s="1371"/>
      <c r="AF714" s="1371"/>
      <c r="AG714" s="1372"/>
      <c r="AH714" s="1475" t="s">
        <v>2255</v>
      </c>
      <c r="AI714" s="1371"/>
      <c r="AJ714" s="1372"/>
      <c r="AK714" s="1475"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73"/>
      <c r="C715" s="1374"/>
      <c r="D715" s="1374"/>
      <c r="E715" s="1374"/>
      <c r="F715" s="1375"/>
      <c r="G715" s="1373"/>
      <c r="H715" s="1374"/>
      <c r="I715" s="1374"/>
      <c r="J715" s="1375"/>
      <c r="K715" s="1765"/>
      <c r="L715" s="1766"/>
      <c r="M715" s="1766"/>
      <c r="N715" s="1767"/>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3"/>
      <c r="C716" s="1374"/>
      <c r="D716" s="1374"/>
      <c r="E716" s="1374"/>
      <c r="F716" s="1375"/>
      <c r="G716" s="1373"/>
      <c r="H716" s="1374"/>
      <c r="I716" s="1374"/>
      <c r="J716" s="1375"/>
      <c r="K716" s="1765"/>
      <c r="L716" s="1766"/>
      <c r="M716" s="1766"/>
      <c r="N716" s="1767"/>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76"/>
      <c r="C717" s="1377"/>
      <c r="D717" s="1377"/>
      <c r="E717" s="1377"/>
      <c r="F717" s="1378"/>
      <c r="G717" s="1376"/>
      <c r="H717" s="1377"/>
      <c r="I717" s="1377"/>
      <c r="J717" s="1378"/>
      <c r="K717" s="1765"/>
      <c r="L717" s="1766"/>
      <c r="M717" s="1766"/>
      <c r="N717" s="1767"/>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91" t="s">
        <v>326</v>
      </c>
      <c r="C718" s="1392"/>
      <c r="D718" s="1392"/>
      <c r="E718" s="1392"/>
      <c r="F718" s="1393"/>
      <c r="G718" s="1355">
        <v>16</v>
      </c>
      <c r="H718" s="1356"/>
      <c r="I718" s="1356"/>
      <c r="J718" s="1357"/>
      <c r="K718" s="1358">
        <v>500</v>
      </c>
      <c r="L718" s="1359"/>
      <c r="M718" s="1359"/>
      <c r="N718" s="1360"/>
      <c r="O718" s="1367">
        <v>466</v>
      </c>
      <c r="P718" s="1368"/>
      <c r="Q718" s="1368"/>
      <c r="R718" s="1368"/>
      <c r="S718" s="1369"/>
      <c r="T718" s="1367">
        <v>58</v>
      </c>
      <c r="U718" s="1368"/>
      <c r="V718" s="1368"/>
      <c r="W718" s="1369"/>
      <c r="X718" s="1387">
        <f t="shared" ref="X718:X741" si="63">O718+T718</f>
        <v>524</v>
      </c>
      <c r="Y718" s="1388"/>
      <c r="Z718" s="1388"/>
      <c r="AA718" s="1388"/>
      <c r="AB718" s="1389"/>
      <c r="AC718" s="1406">
        <v>0.3</v>
      </c>
      <c r="AD718" s="1407"/>
      <c r="AE718" s="1407"/>
      <c r="AF718" s="1407"/>
      <c r="AG718" s="1408"/>
      <c r="AH718" s="1398">
        <f t="shared" ref="AH718:AH751" si="64">IF($AC718&gt;0,($X718/$BA667), "")</f>
        <v>0.2997711670480549</v>
      </c>
      <c r="AI718" s="1399"/>
      <c r="AJ718" s="1400"/>
      <c r="AK718" s="1391" t="s">
        <v>2418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91" t="s">
        <v>163</v>
      </c>
      <c r="C719" s="1392"/>
      <c r="D719" s="1392"/>
      <c r="E719" s="1392"/>
      <c r="F719" s="1393"/>
      <c r="G719" s="1355">
        <v>30</v>
      </c>
      <c r="H719" s="1356"/>
      <c r="I719" s="1356"/>
      <c r="J719" s="1357"/>
      <c r="K719" s="1358">
        <v>890</v>
      </c>
      <c r="L719" s="1359"/>
      <c r="M719" s="1359"/>
      <c r="N719" s="1360"/>
      <c r="O719" s="1367">
        <v>550</v>
      </c>
      <c r="P719" s="1368"/>
      <c r="Q719" s="1368"/>
      <c r="R719" s="1368"/>
      <c r="S719" s="1369"/>
      <c r="T719" s="1367">
        <v>79</v>
      </c>
      <c r="U719" s="1368"/>
      <c r="V719" s="1368"/>
      <c r="W719" s="1369"/>
      <c r="X719" s="1387">
        <f t="shared" si="63"/>
        <v>629</v>
      </c>
      <c r="Y719" s="1388"/>
      <c r="Z719" s="1388"/>
      <c r="AA719" s="1388"/>
      <c r="AB719" s="1389"/>
      <c r="AC719" s="1406">
        <v>0.3</v>
      </c>
      <c r="AD719" s="1407"/>
      <c r="AE719" s="1407"/>
      <c r="AF719" s="1407"/>
      <c r="AG719" s="1408"/>
      <c r="AH719" s="1398">
        <f t="shared" si="64"/>
        <v>0.30009541984732824</v>
      </c>
      <c r="AI719" s="1399"/>
      <c r="AJ719" s="1400"/>
      <c r="AK719" s="1391" t="s">
        <v>2418</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91" t="s">
        <v>164</v>
      </c>
      <c r="C720" s="1392"/>
      <c r="D720" s="1392"/>
      <c r="E720" s="1392"/>
      <c r="F720" s="1393"/>
      <c r="G720" s="1355">
        <v>4</v>
      </c>
      <c r="H720" s="1356"/>
      <c r="I720" s="1356"/>
      <c r="J720" s="1357"/>
      <c r="K720" s="1358">
        <v>1115</v>
      </c>
      <c r="L720" s="1359"/>
      <c r="M720" s="1359"/>
      <c r="N720" s="1360"/>
      <c r="O720" s="1367">
        <v>627</v>
      </c>
      <c r="P720" s="1368"/>
      <c r="Q720" s="1368"/>
      <c r="R720" s="1368"/>
      <c r="S720" s="1369"/>
      <c r="T720" s="1367">
        <v>100</v>
      </c>
      <c r="U720" s="1368"/>
      <c r="V720" s="1368"/>
      <c r="W720" s="1369"/>
      <c r="X720" s="1387">
        <f t="shared" si="63"/>
        <v>727</v>
      </c>
      <c r="Y720" s="1388"/>
      <c r="Z720" s="1388"/>
      <c r="AA720" s="1388"/>
      <c r="AB720" s="1389"/>
      <c r="AC720" s="1406">
        <v>0.3</v>
      </c>
      <c r="AD720" s="1407"/>
      <c r="AE720" s="1407"/>
      <c r="AF720" s="1407"/>
      <c r="AG720" s="1408"/>
      <c r="AH720" s="1398">
        <f t="shared" si="64"/>
        <v>0.30016515276630884</v>
      </c>
      <c r="AI720" s="1399"/>
      <c r="AJ720" s="1400"/>
      <c r="AK720" s="1391" t="s">
        <v>2418</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91"/>
      <c r="C721" s="1392"/>
      <c r="D721" s="1392"/>
      <c r="E721" s="1392"/>
      <c r="F721" s="1393"/>
      <c r="G721" s="1355"/>
      <c r="H721" s="1356"/>
      <c r="I721" s="1356"/>
      <c r="J721" s="1357"/>
      <c r="K721" s="1358"/>
      <c r="L721" s="1359"/>
      <c r="M721" s="1359"/>
      <c r="N721" s="1360"/>
      <c r="O721" s="1367"/>
      <c r="P721" s="1368"/>
      <c r="Q721" s="1368"/>
      <c r="R721" s="1368"/>
      <c r="S721" s="1369"/>
      <c r="T721" s="1367"/>
      <c r="U721" s="1368"/>
      <c r="V721" s="1368"/>
      <c r="W721" s="1369"/>
      <c r="X721" s="1387">
        <f t="shared" si="63"/>
        <v>0</v>
      </c>
      <c r="Y721" s="1388"/>
      <c r="Z721" s="1388"/>
      <c r="AA721" s="1388"/>
      <c r="AB721" s="1389"/>
      <c r="AC721" s="1406"/>
      <c r="AD721" s="1407"/>
      <c r="AE721" s="1407"/>
      <c r="AF721" s="1407"/>
      <c r="AG721" s="1408"/>
      <c r="AH721" s="1398" t="str">
        <f t="shared" si="64"/>
        <v/>
      </c>
      <c r="AI721" s="1399"/>
      <c r="AJ721" s="1400"/>
      <c r="AK721" s="1391"/>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91" t="s">
        <v>163</v>
      </c>
      <c r="C722" s="1392"/>
      <c r="D722" s="1392"/>
      <c r="E722" s="1392"/>
      <c r="F722" s="1393"/>
      <c r="G722" s="1355">
        <v>9</v>
      </c>
      <c r="H722" s="1356"/>
      <c r="I722" s="1356"/>
      <c r="J722" s="1357"/>
      <c r="K722" s="1358">
        <v>890</v>
      </c>
      <c r="L722" s="1359"/>
      <c r="M722" s="1359"/>
      <c r="N722" s="1360"/>
      <c r="O722" s="1367">
        <v>969</v>
      </c>
      <c r="P722" s="1368"/>
      <c r="Q722" s="1368"/>
      <c r="R722" s="1368"/>
      <c r="S722" s="1369"/>
      <c r="T722" s="1367">
        <v>79</v>
      </c>
      <c r="U722" s="1368"/>
      <c r="V722" s="1368"/>
      <c r="W722" s="1369"/>
      <c r="X722" s="1387">
        <f t="shared" si="63"/>
        <v>1048</v>
      </c>
      <c r="Y722" s="1388"/>
      <c r="Z722" s="1388"/>
      <c r="AA722" s="1388"/>
      <c r="AB722" s="1389"/>
      <c r="AC722" s="1406">
        <v>0.5</v>
      </c>
      <c r="AD722" s="1407"/>
      <c r="AE722" s="1407"/>
      <c r="AF722" s="1407"/>
      <c r="AG722" s="1408"/>
      <c r="AH722" s="1398">
        <f t="shared" si="64"/>
        <v>0.5</v>
      </c>
      <c r="AI722" s="1399"/>
      <c r="AJ722" s="1400"/>
      <c r="AK722" s="1391" t="s">
        <v>599</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91" t="s">
        <v>164</v>
      </c>
      <c r="C723" s="1392"/>
      <c r="D723" s="1392"/>
      <c r="E723" s="1392"/>
      <c r="F723" s="1393"/>
      <c r="G723" s="1355">
        <v>12</v>
      </c>
      <c r="H723" s="1356"/>
      <c r="I723" s="1356"/>
      <c r="J723" s="1357"/>
      <c r="K723" s="1358">
        <v>1115</v>
      </c>
      <c r="L723" s="1359"/>
      <c r="M723" s="1359"/>
      <c r="N723" s="1360"/>
      <c r="O723" s="1367">
        <v>1111</v>
      </c>
      <c r="P723" s="1368"/>
      <c r="Q723" s="1368"/>
      <c r="R723" s="1368"/>
      <c r="S723" s="1369"/>
      <c r="T723" s="1367">
        <v>100</v>
      </c>
      <c r="U723" s="1368"/>
      <c r="V723" s="1368"/>
      <c r="W723" s="1369"/>
      <c r="X723" s="1387">
        <f t="shared" si="63"/>
        <v>1211</v>
      </c>
      <c r="Y723" s="1388"/>
      <c r="Z723" s="1388"/>
      <c r="AA723" s="1388"/>
      <c r="AB723" s="1389"/>
      <c r="AC723" s="1406">
        <v>0.5</v>
      </c>
      <c r="AD723" s="1407"/>
      <c r="AE723" s="1407"/>
      <c r="AF723" s="1407"/>
      <c r="AG723" s="1408"/>
      <c r="AH723" s="1398">
        <f t="shared" si="64"/>
        <v>0.5</v>
      </c>
      <c r="AI723" s="1399"/>
      <c r="AJ723" s="1400"/>
      <c r="AK723" s="1391" t="s">
        <v>599</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91" t="s">
        <v>164</v>
      </c>
      <c r="C724" s="1392"/>
      <c r="D724" s="1392"/>
      <c r="E724" s="1392"/>
      <c r="F724" s="1393"/>
      <c r="G724" s="1355">
        <v>12</v>
      </c>
      <c r="H724" s="1356"/>
      <c r="I724" s="1356"/>
      <c r="J724" s="1357"/>
      <c r="K724" s="1358">
        <v>1115</v>
      </c>
      <c r="L724" s="1359"/>
      <c r="M724" s="1359"/>
      <c r="N724" s="1360"/>
      <c r="O724" s="1367">
        <v>1111</v>
      </c>
      <c r="P724" s="1368"/>
      <c r="Q724" s="1368"/>
      <c r="R724" s="1368"/>
      <c r="S724" s="1369"/>
      <c r="T724" s="1367">
        <v>100</v>
      </c>
      <c r="U724" s="1368"/>
      <c r="V724" s="1368"/>
      <c r="W724" s="1369"/>
      <c r="X724" s="1387">
        <f t="shared" si="63"/>
        <v>1211</v>
      </c>
      <c r="Y724" s="1388"/>
      <c r="Z724" s="1388"/>
      <c r="AA724" s="1388"/>
      <c r="AB724" s="1389"/>
      <c r="AC724" s="1406">
        <v>0.5</v>
      </c>
      <c r="AD724" s="1407"/>
      <c r="AE724" s="1407"/>
      <c r="AF724" s="1407"/>
      <c r="AG724" s="1408"/>
      <c r="AH724" s="1398">
        <f t="shared" si="64"/>
        <v>0.5</v>
      </c>
      <c r="AI724" s="1399"/>
      <c r="AJ724" s="1400"/>
      <c r="AK724" s="1391" t="s">
        <v>599</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63"/>
        <v>0</v>
      </c>
      <c r="Y725" s="1388"/>
      <c r="Z725" s="1388"/>
      <c r="AA725" s="1388"/>
      <c r="AB725" s="1389"/>
      <c r="AC725" s="1406"/>
      <c r="AD725" s="1407"/>
      <c r="AE725" s="1407"/>
      <c r="AF725" s="1407"/>
      <c r="AG725" s="1408"/>
      <c r="AH725" s="1398" t="str">
        <f t="shared" si="64"/>
        <v/>
      </c>
      <c r="AI725" s="1399"/>
      <c r="AJ725" s="1400"/>
      <c r="AK725" s="1391" t="s">
        <v>599</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63"/>
        <v>0</v>
      </c>
      <c r="Y726" s="1388"/>
      <c r="Z726" s="1388"/>
      <c r="AA726" s="1388"/>
      <c r="AB726" s="1389"/>
      <c r="AC726" s="1406"/>
      <c r="AD726" s="1407"/>
      <c r="AE726" s="1407"/>
      <c r="AF726" s="1407"/>
      <c r="AG726" s="1408"/>
      <c r="AH726" s="1398" t="str">
        <f t="shared" si="64"/>
        <v/>
      </c>
      <c r="AI726" s="1399"/>
      <c r="AJ726" s="1400"/>
      <c r="AK726" s="1391" t="s">
        <v>599</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63"/>
        <v>0</v>
      </c>
      <c r="Y727" s="1388"/>
      <c r="Z727" s="1388"/>
      <c r="AA727" s="1388"/>
      <c r="AB727" s="1389"/>
      <c r="AC727" s="1406"/>
      <c r="AD727" s="1407"/>
      <c r="AE727" s="1407"/>
      <c r="AF727" s="1407"/>
      <c r="AG727" s="1408"/>
      <c r="AH727" s="1398" t="str">
        <f t="shared" si="64"/>
        <v/>
      </c>
      <c r="AI727" s="1399"/>
      <c r="AJ727" s="1400"/>
      <c r="AK727" s="1391" t="s">
        <v>599</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63"/>
        <v>0</v>
      </c>
      <c r="Y728" s="1388"/>
      <c r="Z728" s="1388"/>
      <c r="AA728" s="1388"/>
      <c r="AB728" s="1389"/>
      <c r="AC728" s="1406"/>
      <c r="AD728" s="1407"/>
      <c r="AE728" s="1407"/>
      <c r="AF728" s="1407"/>
      <c r="AG728" s="1408"/>
      <c r="AH728" s="1398" t="str">
        <f t="shared" si="64"/>
        <v/>
      </c>
      <c r="AI728" s="1399"/>
      <c r="AJ728" s="1400"/>
      <c r="AK728" s="1391" t="s">
        <v>599</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63"/>
        <v>0</v>
      </c>
      <c r="Y729" s="1388"/>
      <c r="Z729" s="1388"/>
      <c r="AA729" s="1388"/>
      <c r="AB729" s="1389"/>
      <c r="AC729" s="1406"/>
      <c r="AD729" s="1407"/>
      <c r="AE729" s="1407"/>
      <c r="AF729" s="1407"/>
      <c r="AG729" s="1408"/>
      <c r="AH729" s="1398" t="str">
        <f t="shared" si="64"/>
        <v/>
      </c>
      <c r="AI729" s="1399"/>
      <c r="AJ729" s="1400"/>
      <c r="AK729" s="1391" t="s">
        <v>599</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63"/>
        <v>0</v>
      </c>
      <c r="Y730" s="1388"/>
      <c r="Z730" s="1388"/>
      <c r="AA730" s="1388"/>
      <c r="AB730" s="1389"/>
      <c r="AC730" s="1406"/>
      <c r="AD730" s="1407"/>
      <c r="AE730" s="1407"/>
      <c r="AF730" s="1407"/>
      <c r="AG730" s="1408"/>
      <c r="AH730" s="1398" t="str">
        <f t="shared" si="64"/>
        <v/>
      </c>
      <c r="AI730" s="1399"/>
      <c r="AJ730" s="1400"/>
      <c r="AK730" s="1391" t="s">
        <v>599</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63"/>
        <v>0</v>
      </c>
      <c r="Y731" s="1388"/>
      <c r="Z731" s="1388"/>
      <c r="AA731" s="1388"/>
      <c r="AB731" s="1389"/>
      <c r="AC731" s="1406"/>
      <c r="AD731" s="1407"/>
      <c r="AE731" s="1407"/>
      <c r="AF731" s="1407"/>
      <c r="AG731" s="1408"/>
      <c r="AH731" s="1398" t="str">
        <f t="shared" si="64"/>
        <v/>
      </c>
      <c r="AI731" s="1399"/>
      <c r="AJ731" s="1400"/>
      <c r="AK731" s="1391" t="s">
        <v>599</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63"/>
        <v>0</v>
      </c>
      <c r="Y732" s="1388"/>
      <c r="Z732" s="1388"/>
      <c r="AA732" s="1388"/>
      <c r="AB732" s="1389"/>
      <c r="AC732" s="1406"/>
      <c r="AD732" s="1407"/>
      <c r="AE732" s="1407"/>
      <c r="AF732" s="1407"/>
      <c r="AG732" s="1408"/>
      <c r="AH732" s="1398" t="str">
        <f t="shared" si="64"/>
        <v/>
      </c>
      <c r="AI732" s="1399"/>
      <c r="AJ732" s="1400"/>
      <c r="AK732" s="1391" t="s">
        <v>599</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63"/>
        <v>0</v>
      </c>
      <c r="Y733" s="1388"/>
      <c r="Z733" s="1388"/>
      <c r="AA733" s="1388"/>
      <c r="AB733" s="1389"/>
      <c r="AC733" s="1406"/>
      <c r="AD733" s="1407"/>
      <c r="AE733" s="1407"/>
      <c r="AF733" s="1407"/>
      <c r="AG733" s="1408"/>
      <c r="AH733" s="1398" t="str">
        <f t="shared" si="64"/>
        <v/>
      </c>
      <c r="AI733" s="1399"/>
      <c r="AJ733" s="1400"/>
      <c r="AK733" s="1391" t="s">
        <v>599</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63"/>
        <v>0</v>
      </c>
      <c r="Y734" s="1388"/>
      <c r="Z734" s="1388"/>
      <c r="AA734" s="1388"/>
      <c r="AB734" s="1389"/>
      <c r="AC734" s="1406"/>
      <c r="AD734" s="1407"/>
      <c r="AE734" s="1407"/>
      <c r="AF734" s="1407"/>
      <c r="AG734" s="1408"/>
      <c r="AH734" s="1398" t="str">
        <f t="shared" si="64"/>
        <v/>
      </c>
      <c r="AI734" s="1399"/>
      <c r="AJ734" s="1400"/>
      <c r="AK734" s="1391" t="s">
        <v>599</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63"/>
        <v>0</v>
      </c>
      <c r="Y735" s="1388"/>
      <c r="Z735" s="1388"/>
      <c r="AA735" s="1388"/>
      <c r="AB735" s="1389"/>
      <c r="AC735" s="1406"/>
      <c r="AD735" s="1407"/>
      <c r="AE735" s="1407"/>
      <c r="AF735" s="1407"/>
      <c r="AG735" s="1408"/>
      <c r="AH735" s="1398" t="str">
        <f t="shared" si="64"/>
        <v/>
      </c>
      <c r="AI735" s="1399"/>
      <c r="AJ735" s="1400"/>
      <c r="AK735" s="1391" t="s">
        <v>599</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63"/>
        <v>0</v>
      </c>
      <c r="Y736" s="1388"/>
      <c r="Z736" s="1388"/>
      <c r="AA736" s="1388"/>
      <c r="AB736" s="1389"/>
      <c r="AC736" s="1406"/>
      <c r="AD736" s="1407"/>
      <c r="AE736" s="1407"/>
      <c r="AF736" s="1407"/>
      <c r="AG736" s="1408"/>
      <c r="AH736" s="1398" t="str">
        <f t="shared" si="64"/>
        <v/>
      </c>
      <c r="AI736" s="1399"/>
      <c r="AJ736" s="1400"/>
      <c r="AK736" s="1391" t="s">
        <v>599</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63"/>
        <v>0</v>
      </c>
      <c r="Y737" s="1388"/>
      <c r="Z737" s="1388"/>
      <c r="AA737" s="1388"/>
      <c r="AB737" s="1389"/>
      <c r="AC737" s="1406"/>
      <c r="AD737" s="1407"/>
      <c r="AE737" s="1407"/>
      <c r="AF737" s="1407"/>
      <c r="AG737" s="1408"/>
      <c r="AH737" s="1398" t="str">
        <f t="shared" si="64"/>
        <v/>
      </c>
      <c r="AI737" s="1399"/>
      <c r="AJ737" s="1400"/>
      <c r="AK737" s="1391" t="s">
        <v>599</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63"/>
        <v>0</v>
      </c>
      <c r="Y738" s="1388"/>
      <c r="Z738" s="1388"/>
      <c r="AA738" s="1388"/>
      <c r="AB738" s="1389"/>
      <c r="AC738" s="1406"/>
      <c r="AD738" s="1407"/>
      <c r="AE738" s="1407"/>
      <c r="AF738" s="1407"/>
      <c r="AG738" s="1408"/>
      <c r="AH738" s="1398" t="str">
        <f t="shared" si="64"/>
        <v/>
      </c>
      <c r="AI738" s="1399"/>
      <c r="AJ738" s="1400"/>
      <c r="AK738" s="1391" t="s">
        <v>599</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63"/>
        <v>0</v>
      </c>
      <c r="Y739" s="1388"/>
      <c r="Z739" s="1388"/>
      <c r="AA739" s="1388"/>
      <c r="AB739" s="1389"/>
      <c r="AC739" s="1406"/>
      <c r="AD739" s="1407"/>
      <c r="AE739" s="1407"/>
      <c r="AF739" s="1407"/>
      <c r="AG739" s="1408"/>
      <c r="AH739" s="1398" t="str">
        <f t="shared" si="64"/>
        <v/>
      </c>
      <c r="AI739" s="1399"/>
      <c r="AJ739" s="1400"/>
      <c r="AK739" s="1391" t="s">
        <v>599</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63"/>
        <v>0</v>
      </c>
      <c r="Y740" s="1388"/>
      <c r="Z740" s="1388"/>
      <c r="AA740" s="1388"/>
      <c r="AB740" s="1389"/>
      <c r="AC740" s="1406"/>
      <c r="AD740" s="1407"/>
      <c r="AE740" s="1407"/>
      <c r="AF740" s="1407"/>
      <c r="AG740" s="1408"/>
      <c r="AH740" s="1398" t="str">
        <f t="shared" si="64"/>
        <v/>
      </c>
      <c r="AI740" s="1399"/>
      <c r="AJ740" s="1400"/>
      <c r="AK740" s="1391" t="s">
        <v>599</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63"/>
        <v>0</v>
      </c>
      <c r="Y741" s="1388"/>
      <c r="Z741" s="1388"/>
      <c r="AA741" s="1388"/>
      <c r="AB741" s="1389"/>
      <c r="AC741" s="1406"/>
      <c r="AD741" s="1407"/>
      <c r="AE741" s="1407"/>
      <c r="AF741" s="1407"/>
      <c r="AG741" s="1408"/>
      <c r="AH741" s="1398" t="str">
        <f t="shared" si="64"/>
        <v/>
      </c>
      <c r="AI741" s="1399"/>
      <c r="AJ741" s="1400"/>
      <c r="AK741" s="1391" t="s">
        <v>599</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5">O742+T742</f>
        <v>0</v>
      </c>
      <c r="Y742" s="1388"/>
      <c r="Z742" s="1388"/>
      <c r="AA742" s="1388"/>
      <c r="AB742" s="1389"/>
      <c r="AC742" s="1406"/>
      <c r="AD742" s="1407"/>
      <c r="AE742" s="1407"/>
      <c r="AF742" s="1407"/>
      <c r="AG742" s="1408"/>
      <c r="AH742" s="1398" t="str">
        <f t="shared" si="64"/>
        <v/>
      </c>
      <c r="AI742" s="1399"/>
      <c r="AJ742" s="1400"/>
      <c r="AK742" s="1391" t="s">
        <v>599</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5"/>
        <v>0</v>
      </c>
      <c r="Y743" s="1388"/>
      <c r="Z743" s="1388"/>
      <c r="AA743" s="1388"/>
      <c r="AB743" s="1389"/>
      <c r="AC743" s="1406"/>
      <c r="AD743" s="1407"/>
      <c r="AE743" s="1407"/>
      <c r="AF743" s="1407"/>
      <c r="AG743" s="1408"/>
      <c r="AH743" s="1398" t="str">
        <f t="shared" si="64"/>
        <v/>
      </c>
      <c r="AI743" s="1399"/>
      <c r="AJ743" s="1400"/>
      <c r="AK743" s="1391" t="s">
        <v>599</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5"/>
        <v>0</v>
      </c>
      <c r="Y744" s="1388"/>
      <c r="Z744" s="1388"/>
      <c r="AA744" s="1388"/>
      <c r="AB744" s="1389"/>
      <c r="AC744" s="1406"/>
      <c r="AD744" s="1407"/>
      <c r="AE744" s="1407"/>
      <c r="AF744" s="1407"/>
      <c r="AG744" s="1408"/>
      <c r="AH744" s="1398" t="str">
        <f t="shared" si="64"/>
        <v/>
      </c>
      <c r="AI744" s="1399"/>
      <c r="AJ744" s="1400"/>
      <c r="AK744" s="1391" t="s">
        <v>599</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5"/>
        <v>0</v>
      </c>
      <c r="Y745" s="1388"/>
      <c r="Z745" s="1388"/>
      <c r="AA745" s="1388"/>
      <c r="AB745" s="1389"/>
      <c r="AC745" s="1406"/>
      <c r="AD745" s="1407"/>
      <c r="AE745" s="1407"/>
      <c r="AF745" s="1407"/>
      <c r="AG745" s="1408"/>
      <c r="AH745" s="1398" t="str">
        <f t="shared" si="64"/>
        <v/>
      </c>
      <c r="AI745" s="1399"/>
      <c r="AJ745" s="1400"/>
      <c r="AK745" s="1391" t="s">
        <v>599</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5"/>
        <v>0</v>
      </c>
      <c r="Y746" s="1388"/>
      <c r="Z746" s="1388"/>
      <c r="AA746" s="1388"/>
      <c r="AB746" s="1389"/>
      <c r="AC746" s="1406"/>
      <c r="AD746" s="1407"/>
      <c r="AE746" s="1407"/>
      <c r="AF746" s="1407"/>
      <c r="AG746" s="1408"/>
      <c r="AH746" s="1398" t="str">
        <f t="shared" si="64"/>
        <v/>
      </c>
      <c r="AI746" s="1399"/>
      <c r="AJ746" s="1400"/>
      <c r="AK746" s="1391" t="s">
        <v>599</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5"/>
        <v>0</v>
      </c>
      <c r="Y747" s="1388"/>
      <c r="Z747" s="1388"/>
      <c r="AA747" s="1388"/>
      <c r="AB747" s="1389"/>
      <c r="AC747" s="1406"/>
      <c r="AD747" s="1407"/>
      <c r="AE747" s="1407"/>
      <c r="AF747" s="1407"/>
      <c r="AG747" s="1408"/>
      <c r="AH747" s="1398" t="str">
        <f t="shared" si="64"/>
        <v/>
      </c>
      <c r="AI747" s="1399"/>
      <c r="AJ747" s="1400"/>
      <c r="AK747" s="1391" t="s">
        <v>599</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5"/>
        <v>0</v>
      </c>
      <c r="Y748" s="1388"/>
      <c r="Z748" s="1388"/>
      <c r="AA748" s="1388"/>
      <c r="AB748" s="1389"/>
      <c r="AC748" s="1406"/>
      <c r="AD748" s="1407"/>
      <c r="AE748" s="1407"/>
      <c r="AF748" s="1407"/>
      <c r="AG748" s="1408"/>
      <c r="AH748" s="1398" t="str">
        <f t="shared" si="64"/>
        <v/>
      </c>
      <c r="AI748" s="1399"/>
      <c r="AJ748" s="1400"/>
      <c r="AK748" s="1391" t="s">
        <v>599</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5"/>
        <v>0</v>
      </c>
      <c r="Y749" s="1388"/>
      <c r="Z749" s="1388"/>
      <c r="AA749" s="1388"/>
      <c r="AB749" s="1389"/>
      <c r="AC749" s="1406"/>
      <c r="AD749" s="1407"/>
      <c r="AE749" s="1407"/>
      <c r="AF749" s="1407"/>
      <c r="AG749" s="1408"/>
      <c r="AH749" s="1398" t="str">
        <f t="shared" si="64"/>
        <v/>
      </c>
      <c r="AI749" s="1399"/>
      <c r="AJ749" s="1400"/>
      <c r="AK749" s="1391" t="s">
        <v>599</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5"/>
        <v>0</v>
      </c>
      <c r="Y750" s="1388"/>
      <c r="Z750" s="1388"/>
      <c r="AA750" s="1388"/>
      <c r="AB750" s="1389"/>
      <c r="AC750" s="1406"/>
      <c r="AD750" s="1407"/>
      <c r="AE750" s="1407"/>
      <c r="AF750" s="1407"/>
      <c r="AG750" s="1408"/>
      <c r="AH750" s="1398" t="str">
        <f t="shared" si="64"/>
        <v/>
      </c>
      <c r="AI750" s="1399"/>
      <c r="AJ750" s="1400"/>
      <c r="AK750" s="1391" t="s">
        <v>599</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5"/>
        <v>0</v>
      </c>
      <c r="Y751" s="1388"/>
      <c r="Z751" s="1388"/>
      <c r="AA751" s="1388"/>
      <c r="AB751" s="1389"/>
      <c r="AC751" s="1406"/>
      <c r="AD751" s="1407"/>
      <c r="AE751" s="1407"/>
      <c r="AF751" s="1407"/>
      <c r="AG751" s="1408"/>
      <c r="AH751" s="1398" t="str">
        <f t="shared" si="64"/>
        <v/>
      </c>
      <c r="AI751" s="1399"/>
      <c r="AJ751" s="1400"/>
      <c r="AK751" s="1391" t="s">
        <v>599</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599</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650" t="s">
        <v>125</v>
      </c>
      <c r="C753" s="1651"/>
      <c r="D753" s="1651"/>
      <c r="E753" s="1651"/>
      <c r="F753" s="1652"/>
      <c r="G753" s="1647">
        <f>SUM(G718:G752)</f>
        <v>83</v>
      </c>
      <c r="H753" s="1648"/>
      <c r="I753" s="1648"/>
      <c r="J753" s="1649"/>
      <c r="K753" s="937" t="s">
        <v>124</v>
      </c>
      <c r="L753" s="5"/>
      <c r="M753" s="5"/>
      <c r="N753" s="46"/>
      <c r="O753" s="1387">
        <f>SUMPRODUCT(G718:G752,O718:O752)</f>
        <v>61849</v>
      </c>
      <c r="P753" s="1388"/>
      <c r="Q753" s="1388"/>
      <c r="R753" s="1388"/>
      <c r="S753" s="1389"/>
      <c r="T753"/>
      <c r="U753"/>
      <c r="V753"/>
      <c r="W753"/>
      <c r="X753" s="939" t="s">
        <v>915</v>
      </c>
      <c r="Y753" s="938"/>
      <c r="Z753" s="938"/>
      <c r="AA753" s="938"/>
      <c r="AB753" s="940"/>
      <c r="AC753" s="1653">
        <f>BI703</f>
        <v>0.37951807228915663</v>
      </c>
      <c r="AD753" s="1654"/>
      <c r="AE753" s="1654"/>
      <c r="AF753" s="1654"/>
      <c r="AG753" s="1655"/>
      <c r="AH753" s="1653">
        <f>IFERROR(BV703,"")</f>
        <v>0.37951640818378268</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390" t="s">
        <v>2183</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2181</v>
      </c>
      <c r="D756" s="1067"/>
      <c r="E756" s="1067"/>
      <c r="F756" s="1067"/>
      <c r="G756" s="1068"/>
      <c r="H756" s="1068"/>
      <c r="I756" s="1068"/>
      <c r="J756" s="1068"/>
      <c r="K756" s="1067"/>
      <c r="L756" s="1067"/>
      <c r="M756" s="1067"/>
      <c r="N756" s="1067"/>
      <c r="O756" s="1489">
        <f>CS634</f>
        <v>178</v>
      </c>
      <c r="P756" s="1489"/>
      <c r="Q756" s="1489"/>
      <c r="R756" s="1489"/>
      <c r="S756" s="1004"/>
      <c r="T756" s="1004"/>
      <c r="U756" s="118" t="s">
        <v>2182</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70" t="s">
        <v>390</v>
      </c>
      <c r="K769" s="1371"/>
      <c r="L769" s="1371"/>
      <c r="M769" s="1371"/>
      <c r="N769" s="1372"/>
      <c r="O769" s="1382" t="s">
        <v>286</v>
      </c>
      <c r="P769" s="1382"/>
      <c r="Q769" s="1382"/>
      <c r="R769" s="1382"/>
      <c r="S769" s="1382"/>
      <c r="T769" s="1762" t="s">
        <v>1868</v>
      </c>
      <c r="U769" s="1763"/>
      <c r="V769" s="1763"/>
      <c r="W769" s="1764"/>
      <c r="X769" s="1370" t="s">
        <v>455</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73"/>
      <c r="K770" s="1374"/>
      <c r="L770" s="1374"/>
      <c r="M770" s="1374"/>
      <c r="N770" s="1375"/>
      <c r="O770" s="1382"/>
      <c r="P770" s="1382"/>
      <c r="Q770" s="1382"/>
      <c r="R770" s="1382"/>
      <c r="S770" s="1382"/>
      <c r="T770" s="1765"/>
      <c r="U770" s="1766"/>
      <c r="V770" s="1766"/>
      <c r="W770" s="1767"/>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73"/>
      <c r="K771" s="1374"/>
      <c r="L771" s="1374"/>
      <c r="M771" s="1374"/>
      <c r="N771" s="1375"/>
      <c r="O771" s="1382"/>
      <c r="P771" s="1382"/>
      <c r="Q771" s="1382"/>
      <c r="R771" s="1382"/>
      <c r="S771" s="1382"/>
      <c r="T771" s="1765"/>
      <c r="U771" s="1766"/>
      <c r="V771" s="1766"/>
      <c r="W771" s="1767"/>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76"/>
      <c r="K772" s="1377"/>
      <c r="L772" s="1377"/>
      <c r="M772" s="1377"/>
      <c r="N772" s="1378"/>
      <c r="O772" s="1382"/>
      <c r="P772" s="1382"/>
      <c r="Q772" s="1382"/>
      <c r="R772" s="1382"/>
      <c r="S772" s="1382"/>
      <c r="T772" s="1768"/>
      <c r="U772" s="1769"/>
      <c r="V772" s="1769"/>
      <c r="W772" s="1770"/>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91" t="s">
        <v>163</v>
      </c>
      <c r="K773" s="1392"/>
      <c r="L773" s="1392"/>
      <c r="M773" s="1392"/>
      <c r="N773" s="1393"/>
      <c r="O773" s="1363">
        <v>1</v>
      </c>
      <c r="P773" s="1363"/>
      <c r="Q773" s="1363"/>
      <c r="R773" s="1363"/>
      <c r="S773" s="1363"/>
      <c r="T773" s="1358">
        <v>890</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650" t="s">
        <v>125</v>
      </c>
      <c r="K777" s="1651"/>
      <c r="L777" s="1651"/>
      <c r="M777" s="1651"/>
      <c r="N777" s="1652"/>
      <c r="O777" s="1490">
        <f>SUM(O773:S776)</f>
        <v>1</v>
      </c>
      <c r="P777" s="1491"/>
      <c r="Q777" s="1491"/>
      <c r="R777" s="1491"/>
      <c r="S777" s="1492"/>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70" t="s">
        <v>390</v>
      </c>
      <c r="K783" s="1371"/>
      <c r="L783" s="1371"/>
      <c r="M783" s="1371"/>
      <c r="N783" s="1372"/>
      <c r="O783" s="1382" t="s">
        <v>286</v>
      </c>
      <c r="P783" s="1382"/>
      <c r="Q783" s="1382"/>
      <c r="R783" s="1382"/>
      <c r="S783" s="1382"/>
      <c r="T783" s="1762" t="s">
        <v>1868</v>
      </c>
      <c r="U783" s="1763"/>
      <c r="V783" s="1763"/>
      <c r="W783" s="1764"/>
      <c r="X783" s="1370" t="s">
        <v>455</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73"/>
      <c r="K784" s="1374"/>
      <c r="L784" s="1374"/>
      <c r="M784" s="1374"/>
      <c r="N784" s="1375"/>
      <c r="O784" s="1382"/>
      <c r="P784" s="1382"/>
      <c r="Q784" s="1382"/>
      <c r="R784" s="1382"/>
      <c r="S784" s="1382"/>
      <c r="T784" s="1765"/>
      <c r="U784" s="1766"/>
      <c r="V784" s="1766"/>
      <c r="W784" s="1767"/>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73"/>
      <c r="K785" s="1374"/>
      <c r="L785" s="1374"/>
      <c r="M785" s="1374"/>
      <c r="N785" s="1375"/>
      <c r="O785" s="1382"/>
      <c r="P785" s="1382"/>
      <c r="Q785" s="1382"/>
      <c r="R785" s="1382"/>
      <c r="S785" s="1382"/>
      <c r="T785" s="1765"/>
      <c r="U785" s="1766"/>
      <c r="V785" s="1766"/>
      <c r="W785" s="1767"/>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76"/>
      <c r="K786" s="1377"/>
      <c r="L786" s="1377"/>
      <c r="M786" s="1377"/>
      <c r="N786" s="1378"/>
      <c r="O786" s="1382"/>
      <c r="P786" s="1382"/>
      <c r="Q786" s="1382"/>
      <c r="R786" s="1382"/>
      <c r="S786" s="1382"/>
      <c r="T786" s="1768"/>
      <c r="U786" s="1769"/>
      <c r="V786" s="1769"/>
      <c r="W786" s="1770"/>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6">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6"/>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6"/>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6"/>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6"/>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6"/>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6"/>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6"/>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6"/>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6"/>
        <v>0</v>
      </c>
      <c r="AD796" s="1388"/>
      <c r="AE796" s="1388"/>
      <c r="AF796" s="1388"/>
      <c r="AG796" s="138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1" t="s">
        <v>477</v>
      </c>
      <c r="BO796" s="1672"/>
      <c r="BP796" s="3"/>
      <c r="BQ796" s="3"/>
      <c r="BR796" s="3"/>
      <c r="BS796" s="14" t="s">
        <v>642</v>
      </c>
      <c r="BT796" s="14"/>
      <c r="BU796" s="14"/>
      <c r="BV796" s="14"/>
      <c r="BW796" s="14"/>
      <c r="BX796" s="14"/>
      <c r="BY796" s="14"/>
      <c r="BZ796" s="14"/>
      <c r="CA796" s="14"/>
      <c r="CB796" s="1668" t="str">
        <f>T189</f>
        <v>Riverside</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49">
        <f>O753+AC777+AC797</f>
        <v>61849</v>
      </c>
      <c r="Z800" s="1749"/>
      <c r="AA800" s="1749"/>
      <c r="AB800" s="1749"/>
      <c r="AC800" s="174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9">
        <f>(O753+AC777+AC797)*12</f>
        <v>742188</v>
      </c>
      <c r="Z801" s="1749"/>
      <c r="AA801" s="1749"/>
      <c r="AB801" s="1749"/>
      <c r="AC801" s="17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f>50+21</f>
        <v>71</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v>45716</v>
      </c>
      <c r="AA808" s="1681"/>
      <c r="AB808" s="1681"/>
      <c r="AC808" s="1681"/>
      <c r="AD808" s="1681"/>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805812</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5016</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544" t="s">
        <v>335</v>
      </c>
      <c r="Q816" s="1574"/>
      <c r="R816" s="1574"/>
      <c r="S816" s="1574"/>
      <c r="T816" s="1574"/>
      <c r="U816" s="1574"/>
      <c r="V816" s="1574"/>
      <c r="W816" s="1574"/>
      <c r="X816" s="1574"/>
      <c r="Y816" s="1575"/>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5016</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4">
        <f>Z817+Y801+Z809</f>
        <v>1553016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741" t="s">
        <v>126</v>
      </c>
      <c r="N823" s="1741"/>
      <c r="O823" s="1741"/>
      <c r="P823" s="1758"/>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726" t="s">
        <v>40</v>
      </c>
      <c r="D825" s="1449"/>
      <c r="E825" s="1449"/>
      <c r="F825" s="1449"/>
      <c r="G825" s="1449"/>
      <c r="H825" s="1449"/>
      <c r="I825" s="48"/>
      <c r="J825" s="48"/>
      <c r="K825" s="48"/>
      <c r="L825" s="49"/>
      <c r="M825" s="1397"/>
      <c r="N825" s="1397"/>
      <c r="O825" s="1397"/>
      <c r="P825" s="1397"/>
      <c r="Q825" s="1397">
        <v>14</v>
      </c>
      <c r="R825" s="1397"/>
      <c r="S825" s="1397"/>
      <c r="T825" s="1397"/>
      <c r="U825" s="1397">
        <v>18</v>
      </c>
      <c r="V825" s="1397"/>
      <c r="W825" s="1397"/>
      <c r="X825" s="1397"/>
      <c r="Y825" s="1397">
        <v>21</v>
      </c>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361" t="s">
        <v>42</v>
      </c>
      <c r="D827" s="1362"/>
      <c r="E827" s="1362"/>
      <c r="F827" s="1362"/>
      <c r="G827" s="1362"/>
      <c r="H827" s="1362"/>
      <c r="I827" s="60"/>
      <c r="J827" s="60"/>
      <c r="K827" s="60"/>
      <c r="L827" s="61"/>
      <c r="M827" s="1397"/>
      <c r="N827" s="1397"/>
      <c r="O827" s="1397"/>
      <c r="P827" s="1397"/>
      <c r="Q827" s="1397">
        <v>8</v>
      </c>
      <c r="R827" s="1397"/>
      <c r="S827" s="1397"/>
      <c r="T827" s="1397"/>
      <c r="U827" s="1397">
        <v>11</v>
      </c>
      <c r="V827" s="1397"/>
      <c r="W827" s="1397"/>
      <c r="X827" s="1397"/>
      <c r="Y827" s="1397">
        <v>14</v>
      </c>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361" t="s">
        <v>771</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361" t="s">
        <v>467</v>
      </c>
      <c r="D829" s="1362"/>
      <c r="E829" s="1362"/>
      <c r="F829" s="1362"/>
      <c r="G829" s="1362"/>
      <c r="H829" s="1362"/>
      <c r="I829" s="60"/>
      <c r="J829" s="60"/>
      <c r="K829" s="60"/>
      <c r="L829" s="61"/>
      <c r="M829" s="1397"/>
      <c r="N829" s="1397"/>
      <c r="O829" s="1397"/>
      <c r="P829" s="1397"/>
      <c r="Q829" s="1397">
        <v>23</v>
      </c>
      <c r="R829" s="1397"/>
      <c r="S829" s="1397"/>
      <c r="T829" s="1397"/>
      <c r="U829" s="1397">
        <v>32</v>
      </c>
      <c r="V829" s="1397"/>
      <c r="W829" s="1397"/>
      <c r="X829" s="1397"/>
      <c r="Y829" s="1397">
        <v>42</v>
      </c>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646" t="s">
        <v>792</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544" t="s">
        <v>2751</v>
      </c>
      <c r="G831" s="1574"/>
      <c r="H831" s="1574"/>
      <c r="I831" s="1574"/>
      <c r="J831" s="1574"/>
      <c r="K831" s="1574"/>
      <c r="L831" s="1574"/>
      <c r="M831" s="1397"/>
      <c r="N831" s="1397"/>
      <c r="O831" s="1397"/>
      <c r="P831" s="1397"/>
      <c r="Q831" s="1397">
        <v>13</v>
      </c>
      <c r="R831" s="1397"/>
      <c r="S831" s="1397"/>
      <c r="T831" s="1397"/>
      <c r="U831" s="1397">
        <v>18</v>
      </c>
      <c r="V831" s="1397"/>
      <c r="W831" s="1397"/>
      <c r="X831" s="1397"/>
      <c r="Y831" s="1397">
        <v>23</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58</v>
      </c>
      <c r="R832" s="1674"/>
      <c r="S832" s="1674"/>
      <c r="T832" s="1674"/>
      <c r="U832" s="1674">
        <f>SUM(U825:X831)</f>
        <v>79</v>
      </c>
      <c r="V832" s="1674"/>
      <c r="W832" s="1674"/>
      <c r="X832" s="1674"/>
      <c r="Y832" s="1674">
        <f>SUM(Y825:AB831)</f>
        <v>100</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75" t="s">
        <v>2716</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504">
        <v>1500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504">
        <v>3000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504">
        <v>17500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504">
        <v>38684</v>
      </c>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544" t="s">
        <v>2752</v>
      </c>
      <c r="N846" s="1574"/>
      <c r="O846" s="1574"/>
      <c r="P846" s="1574"/>
      <c r="Q846" s="1574"/>
      <c r="R846" s="1574"/>
      <c r="S846" s="1574"/>
      <c r="T846" s="1574"/>
      <c r="U846" s="1574"/>
      <c r="V846" s="1575"/>
      <c r="W846" s="1504">
        <v>40895</v>
      </c>
      <c r="X846" s="1504"/>
      <c r="Y846" s="1504"/>
      <c r="Z846" s="1504"/>
      <c r="AA846" s="1504"/>
      <c r="AB846" s="1504"/>
      <c r="AC846" s="15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364">
        <f>SUM(W842:AC846)</f>
        <v>101579</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64"/>
      <c r="BH848" s="1664"/>
      <c r="BI848" s="1664"/>
      <c r="BJ848" s="1664"/>
      <c r="BK848" s="1664"/>
      <c r="BL848" s="1664"/>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650" t="s">
        <v>346</v>
      </c>
      <c r="K849" s="1651"/>
      <c r="L849" s="1651"/>
      <c r="M849" s="1651"/>
      <c r="N849" s="1651"/>
      <c r="O849" s="1651"/>
      <c r="P849" s="1651"/>
      <c r="Q849" s="1651"/>
      <c r="R849" s="1651"/>
      <c r="S849" s="1651"/>
      <c r="T849" s="1651"/>
      <c r="U849" s="1651"/>
      <c r="V849" s="1652"/>
      <c r="W849" s="1394">
        <v>60480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569</v>
      </c>
      <c r="J851" s="45" t="s">
        <v>353</v>
      </c>
      <c r="K851" s="5"/>
      <c r="L851" s="5"/>
      <c r="M851" s="5"/>
      <c r="N851" s="5"/>
      <c r="O851" s="5"/>
      <c r="P851" s="5"/>
      <c r="Q851" s="5"/>
      <c r="R851" s="5"/>
      <c r="S851" s="5"/>
      <c r="T851" s="5"/>
      <c r="U851" s="5"/>
      <c r="V851" s="46"/>
      <c r="W851" s="1732"/>
      <c r="X851" s="1732"/>
      <c r="Y851" s="1732"/>
      <c r="Z851" s="1732"/>
      <c r="AA851" s="1732"/>
      <c r="AB851" s="1732"/>
      <c r="AC851" s="1732"/>
      <c r="AZ851" s="1742">
        <f>SUM(AZ818:AZ846)</f>
        <v>0</v>
      </c>
      <c r="BA851" s="174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32"/>
      <c r="X852" s="1732"/>
      <c r="Y852" s="1732"/>
      <c r="Z852" s="1732"/>
      <c r="AA852" s="1732"/>
      <c r="AB852" s="1732"/>
      <c r="AC852" s="173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467</v>
      </c>
      <c r="K853" s="5"/>
      <c r="L853" s="5"/>
      <c r="M853" s="5"/>
      <c r="N853" s="5"/>
      <c r="O853" s="5"/>
      <c r="P853" s="5"/>
      <c r="Q853" s="5"/>
      <c r="R853" s="5"/>
      <c r="S853" s="5"/>
      <c r="T853" s="5"/>
      <c r="U853" s="5"/>
      <c r="V853" s="46"/>
      <c r="W853" s="1732">
        <v>44211</v>
      </c>
      <c r="X853" s="1732"/>
      <c r="Y853" s="1732"/>
      <c r="Z853" s="1732"/>
      <c r="AA853" s="1732"/>
      <c r="AB853" s="1732"/>
      <c r="AC853" s="173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628</v>
      </c>
      <c r="K854" s="5"/>
      <c r="L854" s="5"/>
      <c r="M854" s="5"/>
      <c r="N854" s="5"/>
      <c r="O854" s="5"/>
      <c r="P854" s="5"/>
      <c r="Q854" s="5"/>
      <c r="R854" s="5"/>
      <c r="S854" s="5"/>
      <c r="T854" s="5"/>
      <c r="U854" s="5"/>
      <c r="V854" s="46"/>
      <c r="W854" s="1732">
        <v>96711</v>
      </c>
      <c r="X854" s="1732"/>
      <c r="Y854" s="1732"/>
      <c r="Z854" s="1732"/>
      <c r="AA854" s="1732"/>
      <c r="AB854" s="1732"/>
      <c r="AC854" s="17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55">
        <f>SUM(W851:AC854)</f>
        <v>140922</v>
      </c>
      <c r="X855" s="1755"/>
      <c r="Y855" s="1755"/>
      <c r="Z855" s="1755"/>
      <c r="AA855" s="1755"/>
      <c r="AB855" s="1755"/>
      <c r="AC855" s="17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627</v>
      </c>
      <c r="K857" s="5"/>
      <c r="L857" s="5"/>
      <c r="M857" s="5"/>
      <c r="N857" s="5"/>
      <c r="O857" s="5"/>
      <c r="P857" s="5"/>
      <c r="Q857" s="5"/>
      <c r="R857" s="5"/>
      <c r="S857" s="5"/>
      <c r="T857" s="5"/>
      <c r="U857" s="5"/>
      <c r="V857" s="46"/>
      <c r="W857" s="1735">
        <v>70000</v>
      </c>
      <c r="X857" s="1736"/>
      <c r="Y857" s="1736"/>
      <c r="Z857" s="1736"/>
      <c r="AA857" s="1736"/>
      <c r="AB857" s="1736"/>
      <c r="AC857" s="17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1768</v>
      </c>
      <c r="K858" s="5"/>
      <c r="L858" s="5"/>
      <c r="M858" s="5"/>
      <c r="N858" s="5"/>
      <c r="O858" s="5"/>
      <c r="P858" s="5"/>
      <c r="Q858" s="5"/>
      <c r="R858" s="5"/>
      <c r="S858" s="5"/>
      <c r="T858" s="1743">
        <v>1</v>
      </c>
      <c r="U858" s="174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626</v>
      </c>
      <c r="K859" s="5"/>
      <c r="L859" s="5"/>
      <c r="M859" s="5"/>
      <c r="N859" s="5"/>
      <c r="O859" s="5"/>
      <c r="P859" s="5"/>
      <c r="Q859" s="5"/>
      <c r="R859" s="5"/>
      <c r="S859" s="5"/>
      <c r="T859" s="5"/>
      <c r="U859" s="5"/>
      <c r="V859" s="46"/>
      <c r="W859" s="1735">
        <v>65000</v>
      </c>
      <c r="X859" s="1736"/>
      <c r="Y859" s="1736"/>
      <c r="Z859" s="1736"/>
      <c r="AA859" s="1736"/>
      <c r="AB859" s="1736"/>
      <c r="AC859" s="17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1769</v>
      </c>
      <c r="K860" s="5"/>
      <c r="L860" s="5"/>
      <c r="M860" s="5"/>
      <c r="N860" s="5"/>
      <c r="O860" s="5"/>
      <c r="P860" s="5"/>
      <c r="Q860" s="5"/>
      <c r="R860" s="5"/>
      <c r="S860" s="5"/>
      <c r="T860" s="1743"/>
      <c r="U860" s="174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544" t="s">
        <v>2753</v>
      </c>
      <c r="N861" s="1574"/>
      <c r="O861" s="1574"/>
      <c r="P861" s="1574"/>
      <c r="Q861" s="1574"/>
      <c r="R861" s="1574"/>
      <c r="S861" s="1574"/>
      <c r="T861" s="1574"/>
      <c r="U861" s="1574"/>
      <c r="V861" s="1575"/>
      <c r="W861" s="1735">
        <v>65000</v>
      </c>
      <c r="X861" s="1736"/>
      <c r="Y861" s="1736"/>
      <c r="Z861" s="1736"/>
      <c r="AA861" s="1736"/>
      <c r="AB861" s="1736"/>
      <c r="AC861" s="17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46">
        <f>SUM(W857:AC861)</f>
        <v>200000</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735">
        <v>120000</v>
      </c>
      <c r="X863" s="1736"/>
      <c r="Y863" s="1736"/>
      <c r="Z863" s="1736"/>
      <c r="AA863" s="1736"/>
      <c r="AB863" s="1736"/>
      <c r="AC863" s="17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625</v>
      </c>
      <c r="K865" s="5"/>
      <c r="L865" s="5"/>
      <c r="M865" s="5"/>
      <c r="N865" s="5"/>
      <c r="O865" s="5"/>
      <c r="P865" s="5"/>
      <c r="Q865" s="5"/>
      <c r="R865" s="5"/>
      <c r="S865" s="5"/>
      <c r="T865" s="5"/>
      <c r="U865" s="5"/>
      <c r="V865" s="46"/>
      <c r="W865" s="1504">
        <v>5526</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530</v>
      </c>
      <c r="K866" s="5"/>
      <c r="L866" s="5"/>
      <c r="M866" s="5"/>
      <c r="N866" s="5"/>
      <c r="O866" s="5"/>
      <c r="P866" s="5"/>
      <c r="Q866" s="5"/>
      <c r="R866" s="5"/>
      <c r="S866" s="5"/>
      <c r="T866" s="5"/>
      <c r="U866" s="5"/>
      <c r="V866" s="46"/>
      <c r="W866" s="1504">
        <v>20834</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529</v>
      </c>
      <c r="K867" s="5"/>
      <c r="L867" s="5"/>
      <c r="M867" s="5"/>
      <c r="N867" s="5"/>
      <c r="O867" s="5"/>
      <c r="P867" s="5"/>
      <c r="Q867" s="5"/>
      <c r="R867" s="5"/>
      <c r="S867" s="5"/>
      <c r="T867" s="5"/>
      <c r="U867" s="5"/>
      <c r="V867" s="46"/>
      <c r="W867" s="1504">
        <v>67500</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528</v>
      </c>
      <c r="K868" s="5"/>
      <c r="L868" s="5"/>
      <c r="M868" s="5"/>
      <c r="N868" s="5"/>
      <c r="O868" s="5"/>
      <c r="P868" s="5"/>
      <c r="Q868" s="5"/>
      <c r="R868" s="5"/>
      <c r="S868" s="5"/>
      <c r="T868" s="5"/>
      <c r="U868" s="5"/>
      <c r="V868" s="46"/>
      <c r="W868" s="1504">
        <v>7000</v>
      </c>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527</v>
      </c>
      <c r="K869" s="5"/>
      <c r="L869" s="5"/>
      <c r="M869" s="5"/>
      <c r="N869" s="5"/>
      <c r="O869" s="5"/>
      <c r="P869" s="5"/>
      <c r="Q869" s="5"/>
      <c r="R869" s="5"/>
      <c r="S869" s="5"/>
      <c r="T869" s="5"/>
      <c r="U869" s="5"/>
      <c r="V869" s="46"/>
      <c r="W869" s="1504">
        <v>16579</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526</v>
      </c>
      <c r="K870" s="5"/>
      <c r="L870" s="5"/>
      <c r="M870" s="5"/>
      <c r="N870" s="5"/>
      <c r="O870" s="5"/>
      <c r="P870" s="5"/>
      <c r="Q870" s="5"/>
      <c r="R870" s="5"/>
      <c r="S870" s="5"/>
      <c r="T870" s="5"/>
      <c r="U870" s="5"/>
      <c r="V870" s="46"/>
      <c r="W870" s="1504">
        <v>11053</v>
      </c>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544" t="s">
        <v>335</v>
      </c>
      <c r="N871" s="1574"/>
      <c r="O871" s="1574"/>
      <c r="P871" s="1574"/>
      <c r="Q871" s="1574"/>
      <c r="R871" s="1574"/>
      <c r="S871" s="1574"/>
      <c r="T871" s="1574"/>
      <c r="U871" s="1574"/>
      <c r="V871" s="1575"/>
      <c r="W871" s="1504"/>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49">
        <f>SUM(W865:AC871)</f>
        <v>128492</v>
      </c>
      <c r="X872" s="1749"/>
      <c r="Y872" s="1749"/>
      <c r="Z872" s="1749"/>
      <c r="AA872" s="1749"/>
      <c r="AB872" s="1749"/>
      <c r="AC872" s="174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1350</v>
      </c>
      <c r="J874" s="45" t="s">
        <v>170</v>
      </c>
      <c r="K874" s="5"/>
      <c r="L874" s="5"/>
      <c r="M874" s="1544" t="s">
        <v>2754</v>
      </c>
      <c r="N874" s="1574"/>
      <c r="O874" s="1574"/>
      <c r="P874" s="1574"/>
      <c r="Q874" s="1574"/>
      <c r="R874" s="1574"/>
      <c r="S874" s="1574"/>
      <c r="T874" s="1574"/>
      <c r="U874" s="1574"/>
      <c r="V874" s="1575"/>
      <c r="W874" s="1394">
        <v>10000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1351</v>
      </c>
      <c r="J875" s="45" t="s">
        <v>170</v>
      </c>
      <c r="K875" s="5"/>
      <c r="L875" s="5"/>
      <c r="M875" s="1544" t="s">
        <v>335</v>
      </c>
      <c r="N875" s="1574"/>
      <c r="O875" s="1574"/>
      <c r="P875" s="1574"/>
      <c r="Q875" s="1574"/>
      <c r="R875" s="1574"/>
      <c r="S875" s="1574"/>
      <c r="T875" s="1574"/>
      <c r="U875" s="1574"/>
      <c r="V875" s="1575"/>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544" t="s">
        <v>335</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544"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544"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364">
        <f>SUM(W874:AC878)</f>
        <v>10000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761473</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3">
        <f>O797+O777+G753</f>
        <v>84</v>
      </c>
      <c r="AD884" s="1753"/>
      <c r="AE884" s="1753"/>
      <c r="AF884" s="1753"/>
      <c r="AG884" s="1753"/>
      <c r="AH884" s="175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49">
        <f>IF(ISERROR((ROUNDDOWN(AC883/AC884,0))),0,(ROUNDDOWN(AC883/AC884,0)))</f>
        <v>9065</v>
      </c>
      <c r="AD885" s="1749"/>
      <c r="AE885" s="1749"/>
      <c r="AF885" s="1749"/>
      <c r="AG885" s="1749"/>
      <c r="AH885" s="174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3"/>
      <c r="AD886" s="1734"/>
      <c r="AE886" s="1734"/>
      <c r="AF886" s="1734"/>
      <c r="AG886" s="1734"/>
      <c r="AH886" s="17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6"/>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v>11053</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42000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8289</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750" t="s">
        <v>2768</v>
      </c>
      <c r="D893" s="1751"/>
      <c r="E893" s="1751"/>
      <c r="F893" s="1751"/>
      <c r="G893" s="1751"/>
      <c r="H893" s="1751"/>
      <c r="I893" s="1751"/>
      <c r="J893" s="1751"/>
      <c r="K893" s="1751"/>
      <c r="L893" s="1751"/>
      <c r="M893" s="1751"/>
      <c r="N893" s="1751"/>
      <c r="O893" s="1751"/>
      <c r="P893" s="1751"/>
      <c r="Q893" s="1751"/>
      <c r="R893" s="1751"/>
      <c r="S893" s="1751"/>
      <c r="T893" s="1751"/>
      <c r="U893" s="1751"/>
      <c r="V893" s="1751"/>
      <c r="W893" s="1751"/>
      <c r="X893" s="1751"/>
      <c r="Y893" s="1751"/>
      <c r="Z893" s="1751"/>
      <c r="AA893" s="1751"/>
      <c r="AB893" s="1752"/>
      <c r="AC893" s="1504">
        <v>15000</v>
      </c>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750" t="s">
        <v>975</v>
      </c>
      <c r="D894" s="1751"/>
      <c r="E894" s="1751"/>
      <c r="F894" s="1751"/>
      <c r="G894" s="1751"/>
      <c r="H894" s="1751"/>
      <c r="I894" s="1751"/>
      <c r="J894" s="1751"/>
      <c r="K894" s="1751"/>
      <c r="L894" s="1751"/>
      <c r="M894" s="1751"/>
      <c r="N894" s="1751"/>
      <c r="O894" s="1751"/>
      <c r="P894" s="1751"/>
      <c r="Q894" s="1751"/>
      <c r="R894" s="1751"/>
      <c r="S894" s="1751"/>
      <c r="T894" s="1751"/>
      <c r="U894" s="1751"/>
      <c r="V894" s="1751"/>
      <c r="W894" s="1751"/>
      <c r="X894" s="1751"/>
      <c r="Y894" s="1751"/>
      <c r="Z894" s="1751"/>
      <c r="AA894" s="1751"/>
      <c r="AB894" s="1752"/>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39"/>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41" t="s">
        <v>801</v>
      </c>
      <c r="G914" s="1542"/>
      <c r="H914" s="1542"/>
      <c r="I914" s="1542"/>
      <c r="J914" s="1542"/>
      <c r="K914" s="1542"/>
      <c r="L914" s="1542"/>
      <c r="M914" s="1542"/>
      <c r="N914" s="1542"/>
      <c r="O914" s="1542"/>
      <c r="P914" s="1542"/>
      <c r="Q914" s="1542"/>
      <c r="R914" s="1542"/>
      <c r="S914" s="1542"/>
      <c r="T914" s="1543"/>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582" t="s">
        <v>827</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767</v>
      </c>
      <c r="G917" s="48"/>
      <c r="H917" s="48"/>
      <c r="I917" s="48"/>
      <c r="J917" s="48"/>
      <c r="K917" s="48"/>
      <c r="L917" s="48"/>
      <c r="M917" s="48"/>
      <c r="N917" s="48"/>
      <c r="O917" s="48"/>
      <c r="P917" s="48"/>
      <c r="Q917" s="48"/>
      <c r="R917" s="48"/>
      <c r="S917" s="48"/>
      <c r="T917" s="49"/>
      <c r="U917" s="1433" t="s">
        <v>553</v>
      </c>
      <c r="V917" s="1434"/>
      <c r="W917" s="1434"/>
      <c r="X917" s="1434"/>
      <c r="Y917" s="1434"/>
      <c r="Z917" s="1435"/>
      <c r="AA917" s="1436">
        <f>AM554</f>
        <v>31558092</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683</v>
      </c>
      <c r="G918" s="48"/>
      <c r="H918" s="48"/>
      <c r="I918" s="48"/>
      <c r="J918" s="48"/>
      <c r="K918" s="48"/>
      <c r="L918" s="48"/>
      <c r="M918" s="48"/>
      <c r="N918" s="48"/>
      <c r="O918" s="48"/>
      <c r="P918" s="48"/>
      <c r="Q918" s="48"/>
      <c r="R918" s="48"/>
      <c r="S918" s="48"/>
      <c r="T918" s="49"/>
      <c r="U918" s="1433" t="s">
        <v>553</v>
      </c>
      <c r="V918" s="1434"/>
      <c r="W918" s="1434"/>
      <c r="X918" s="1434"/>
      <c r="Y918" s="1434"/>
      <c r="Z918" s="1435"/>
      <c r="AA918" s="1436">
        <f>AM555</f>
        <v>14109121</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810</v>
      </c>
      <c r="G919" s="5"/>
      <c r="H919" s="5"/>
      <c r="I919" s="5"/>
      <c r="J919" s="5"/>
      <c r="K919" s="5"/>
      <c r="L919" s="5"/>
      <c r="M919" s="5"/>
      <c r="N919" s="5"/>
      <c r="O919" s="5"/>
      <c r="P919" s="5"/>
      <c r="Q919" s="5"/>
      <c r="R919" s="5"/>
      <c r="S919" s="5"/>
      <c r="T919" s="46"/>
      <c r="U919" s="1433" t="s">
        <v>599</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686</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795</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796</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797</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685</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588" t="s">
        <v>2557</v>
      </c>
      <c r="G925" s="1589"/>
      <c r="H925" s="1589"/>
      <c r="I925" s="1589"/>
      <c r="J925" s="1589"/>
      <c r="K925" s="1589"/>
      <c r="L925" s="1589"/>
      <c r="M925" s="1589"/>
      <c r="N925" s="1589"/>
      <c r="O925" s="1589"/>
      <c r="P925" s="1589"/>
      <c r="Q925" s="1589"/>
      <c r="R925" s="1589"/>
      <c r="S925" s="1589"/>
      <c r="T925" s="1590"/>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588" t="s">
        <v>687</v>
      </c>
      <c r="G926" s="1589"/>
      <c r="H926" s="1589"/>
      <c r="I926" s="1589"/>
      <c r="J926" s="1589"/>
      <c r="K926" s="1589"/>
      <c r="L926" s="1589"/>
      <c r="M926" s="1589"/>
      <c r="N926" s="1589"/>
      <c r="O926" s="1589"/>
      <c r="P926" s="1589"/>
      <c r="Q926" s="1589"/>
      <c r="R926" s="1589"/>
      <c r="S926" s="1589"/>
      <c r="T926" s="1590"/>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588" t="s">
        <v>2558</v>
      </c>
      <c r="G927" s="1589"/>
      <c r="H927" s="1589"/>
      <c r="I927" s="1589"/>
      <c r="J927" s="1589"/>
      <c r="K927" s="1589"/>
      <c r="L927" s="1589"/>
      <c r="M927" s="1589"/>
      <c r="N927" s="1589"/>
      <c r="O927" s="1589"/>
      <c r="P927" s="1589"/>
      <c r="Q927" s="1589"/>
      <c r="R927" s="1589"/>
      <c r="S927" s="1589"/>
      <c r="T927" s="1590"/>
      <c r="U927" s="1433" t="s">
        <v>599</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588" t="s">
        <v>2559</v>
      </c>
      <c r="G928" s="1589"/>
      <c r="H928" s="1589"/>
      <c r="I928" s="1589"/>
      <c r="J928" s="1589"/>
      <c r="K928" s="1589"/>
      <c r="L928" s="1589"/>
      <c r="M928" s="1589"/>
      <c r="N928" s="1589"/>
      <c r="O928" s="1589"/>
      <c r="P928" s="1589"/>
      <c r="Q928" s="1589"/>
      <c r="R928" s="1589"/>
      <c r="S928" s="1589"/>
      <c r="T928" s="1590"/>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588" t="s">
        <v>2560</v>
      </c>
      <c r="G929" s="1589"/>
      <c r="H929" s="1589"/>
      <c r="I929" s="1589"/>
      <c r="J929" s="1589"/>
      <c r="K929" s="1589"/>
      <c r="L929" s="1589"/>
      <c r="M929" s="1589"/>
      <c r="N929" s="1589"/>
      <c r="O929" s="1589"/>
      <c r="P929" s="1589"/>
      <c r="Q929" s="1589"/>
      <c r="R929" s="1589"/>
      <c r="S929" s="1589"/>
      <c r="T929" s="1590"/>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588" t="s">
        <v>2561</v>
      </c>
      <c r="G930" s="1589"/>
      <c r="H930" s="1589"/>
      <c r="I930" s="1589"/>
      <c r="J930" s="1589"/>
      <c r="K930" s="1589"/>
      <c r="L930" s="1589"/>
      <c r="M930" s="1589"/>
      <c r="N930" s="1589"/>
      <c r="O930" s="1589"/>
      <c r="P930" s="1589"/>
      <c r="Q930" s="1589"/>
      <c r="R930" s="1589"/>
      <c r="S930" s="1589"/>
      <c r="T930" s="1590"/>
      <c r="U930" s="1433" t="s">
        <v>599</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588" t="s">
        <v>2562</v>
      </c>
      <c r="G931" s="1589"/>
      <c r="H931" s="1589"/>
      <c r="I931" s="1589"/>
      <c r="J931" s="1589"/>
      <c r="K931" s="1589"/>
      <c r="L931" s="1589"/>
      <c r="M931" s="1589"/>
      <c r="N931" s="1589"/>
      <c r="O931" s="1589"/>
      <c r="P931" s="1589"/>
      <c r="Q931" s="1589"/>
      <c r="R931" s="1589"/>
      <c r="S931" s="1589"/>
      <c r="T931" s="1590"/>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684</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1387</v>
      </c>
      <c r="G933" s="5"/>
      <c r="H933" s="5"/>
      <c r="I933" s="5"/>
      <c r="J933" s="5"/>
      <c r="K933" s="5"/>
      <c r="L933" s="5"/>
      <c r="M933" s="5"/>
      <c r="N933" s="5"/>
      <c r="O933" s="5"/>
      <c r="P933" s="5"/>
      <c r="Q933" s="5"/>
      <c r="R933" s="5"/>
      <c r="S933" s="5"/>
      <c r="T933" s="46"/>
      <c r="U933" s="1433" t="s">
        <v>599</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811</v>
      </c>
      <c r="G934" s="5"/>
      <c r="H934" s="5"/>
      <c r="I934" s="5"/>
      <c r="J934" s="5"/>
      <c r="K934" s="5"/>
      <c r="L934" s="5"/>
      <c r="M934" s="5"/>
      <c r="N934" s="5"/>
      <c r="O934" s="5"/>
      <c r="P934" s="5"/>
      <c r="Q934" s="5"/>
      <c r="R934" s="5"/>
      <c r="S934" s="5"/>
      <c r="T934" s="46"/>
      <c r="U934" s="1433" t="s">
        <v>599</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595" t="s">
        <v>2566</v>
      </c>
      <c r="G935" s="1596"/>
      <c r="H935" s="1596"/>
      <c r="I935" s="1596"/>
      <c r="J935" s="1596"/>
      <c r="K935" s="1596"/>
      <c r="L935" s="1596"/>
      <c r="M935" s="1596"/>
      <c r="N935" s="1596"/>
      <c r="O935" s="1596"/>
      <c r="P935" s="1596"/>
      <c r="Q935" s="1596"/>
      <c r="R935" s="1596"/>
      <c r="S935" s="1596"/>
      <c r="T935" s="1597"/>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595" t="s">
        <v>2567</v>
      </c>
      <c r="G936" s="1596"/>
      <c r="H936" s="1596"/>
      <c r="I936" s="1596"/>
      <c r="J936" s="1596"/>
      <c r="K936" s="1596"/>
      <c r="L936" s="1596"/>
      <c r="M936" s="1596"/>
      <c r="N936" s="1596"/>
      <c r="O936" s="1596"/>
      <c r="P936" s="1596"/>
      <c r="Q936" s="1596"/>
      <c r="R936" s="1596"/>
      <c r="S936" s="1596"/>
      <c r="T936" s="1597"/>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588" t="s">
        <v>2563</v>
      </c>
      <c r="G937" s="1589"/>
      <c r="H937" s="1589"/>
      <c r="I937" s="1589"/>
      <c r="J937" s="1589"/>
      <c r="K937" s="1589"/>
      <c r="L937" s="1589"/>
      <c r="M937" s="1589"/>
      <c r="N937" s="1589"/>
      <c r="O937" s="1589"/>
      <c r="P937" s="1589"/>
      <c r="Q937" s="1589"/>
      <c r="R937" s="1589"/>
      <c r="S937" s="1589"/>
      <c r="T937" s="1590"/>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588" t="s">
        <v>2564</v>
      </c>
      <c r="G938" s="1589"/>
      <c r="H938" s="1589"/>
      <c r="I938" s="1589"/>
      <c r="J938" s="1589"/>
      <c r="K938" s="1589"/>
      <c r="L938" s="1589"/>
      <c r="M938" s="1589"/>
      <c r="N938" s="1589"/>
      <c r="O938" s="1589"/>
      <c r="P938" s="1589"/>
      <c r="Q938" s="1589"/>
      <c r="R938" s="1589"/>
      <c r="S938" s="1589"/>
      <c r="T938" s="1590"/>
      <c r="U938" s="1433" t="s">
        <v>553</v>
      </c>
      <c r="V938" s="1434"/>
      <c r="W938" s="1434"/>
      <c r="X938" s="1434"/>
      <c r="Y938" s="1434"/>
      <c r="Z938" s="1435"/>
      <c r="AA938" s="1198">
        <v>11279429</v>
      </c>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588" t="s">
        <v>2565</v>
      </c>
      <c r="G939" s="1589"/>
      <c r="H939" s="1589"/>
      <c r="I939" s="1589"/>
      <c r="J939" s="1589"/>
      <c r="K939" s="1589"/>
      <c r="L939" s="1589"/>
      <c r="M939" s="1589"/>
      <c r="N939" s="1589"/>
      <c r="O939" s="1589"/>
      <c r="P939" s="1589"/>
      <c r="Q939" s="1589"/>
      <c r="R939" s="1589"/>
      <c r="S939" s="1589"/>
      <c r="T939" s="1590"/>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1371</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595" t="s">
        <v>2568</v>
      </c>
      <c r="G941" s="1596"/>
      <c r="H941" s="1596"/>
      <c r="I941" s="1596"/>
      <c r="J941" s="1596"/>
      <c r="K941" s="1596"/>
      <c r="L941" s="1596"/>
      <c r="M941" s="1596"/>
      <c r="N941" s="1596"/>
      <c r="O941" s="1596"/>
      <c r="P941" s="1596"/>
      <c r="Q941" s="1596"/>
      <c r="R941" s="1596"/>
      <c r="S941" s="1596"/>
      <c r="T941" s="1597"/>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1372</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595" t="s">
        <v>2569</v>
      </c>
      <c r="G943" s="1596"/>
      <c r="H943" s="1596"/>
      <c r="I943" s="1596"/>
      <c r="J943" s="1596"/>
      <c r="K943" s="1596"/>
      <c r="L943" s="1596"/>
      <c r="M943" s="1596"/>
      <c r="N943" s="1596"/>
      <c r="O943" s="1596"/>
      <c r="P943" s="1596"/>
      <c r="Q943" s="1596"/>
      <c r="R943" s="1596"/>
      <c r="S943" s="1596"/>
      <c r="T943" s="1597"/>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815</v>
      </c>
      <c r="G944" s="5"/>
      <c r="H944" s="5"/>
      <c r="I944" s="5"/>
      <c r="J944" s="5"/>
      <c r="K944" s="5"/>
      <c r="L944" s="5"/>
      <c r="M944" s="5"/>
      <c r="N944" s="5"/>
      <c r="O944" s="5"/>
      <c r="P944" s="1433" t="s">
        <v>677</v>
      </c>
      <c r="Q944" s="1434"/>
      <c r="R944" s="1434"/>
      <c r="S944" s="1434"/>
      <c r="T944" s="1435"/>
      <c r="U944" s="1433" t="s">
        <v>599</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588" t="s">
        <v>2556</v>
      </c>
      <c r="G945" s="1589"/>
      <c r="H945" s="1590"/>
      <c r="I945" s="1544" t="s">
        <v>335</v>
      </c>
      <c r="J945" s="1574"/>
      <c r="K945" s="1574"/>
      <c r="L945" s="1574"/>
      <c r="M945" s="1574"/>
      <c r="N945" s="1574"/>
      <c r="O945" s="1574"/>
      <c r="P945" s="1574"/>
      <c r="Q945" s="1574"/>
      <c r="R945" s="1574"/>
      <c r="S945" s="1574"/>
      <c r="T945" s="1575"/>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544" t="s">
        <v>335</v>
      </c>
      <c r="J946" s="1574"/>
      <c r="K946" s="1574"/>
      <c r="L946" s="1574"/>
      <c r="M946" s="1574"/>
      <c r="N946" s="1574"/>
      <c r="O946" s="1574"/>
      <c r="P946" s="1574"/>
      <c r="Q946" s="1574"/>
      <c r="R946" s="1574"/>
      <c r="S946" s="1574"/>
      <c r="T946" s="1575"/>
      <c r="U946" s="1433" t="s">
        <v>599</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544" t="s">
        <v>2755</v>
      </c>
      <c r="J947" s="1545"/>
      <c r="K947" s="1545"/>
      <c r="L947" s="1545"/>
      <c r="M947" s="1545"/>
      <c r="N947" s="1545"/>
      <c r="O947" s="1545"/>
      <c r="P947" s="1545"/>
      <c r="Q947" s="1545"/>
      <c r="R947" s="1545"/>
      <c r="S947" s="1545"/>
      <c r="T947" s="1546"/>
      <c r="U947" s="1433" t="s">
        <v>553</v>
      </c>
      <c r="V947" s="1434"/>
      <c r="W947" s="1434"/>
      <c r="X947" s="1434"/>
      <c r="Y947" s="1434"/>
      <c r="Z947" s="1435"/>
      <c r="AA947" s="1436">
        <f>3000000+450000+219892</f>
        <v>3669892</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570" t="s">
        <v>335</v>
      </c>
      <c r="J948" s="1545"/>
      <c r="K948" s="1545"/>
      <c r="L948" s="1545"/>
      <c r="M948" s="1545"/>
      <c r="N948" s="1545"/>
      <c r="O948" s="1545"/>
      <c r="P948" s="1545"/>
      <c r="Q948" s="1545"/>
      <c r="R948" s="1545"/>
      <c r="S948" s="1545"/>
      <c r="T948" s="1546"/>
      <c r="U948" s="1433" t="s">
        <v>599</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570" t="s">
        <v>335</v>
      </c>
      <c r="J949" s="1545"/>
      <c r="K949" s="1545"/>
      <c r="L949" s="1545"/>
      <c r="M949" s="1545"/>
      <c r="N949" s="1545"/>
      <c r="O949" s="1545"/>
      <c r="P949" s="1545"/>
      <c r="Q949" s="1545"/>
      <c r="R949" s="1545"/>
      <c r="S949" s="1545"/>
      <c r="T949" s="1546"/>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724">
        <v>45118</v>
      </c>
      <c r="N954" s="1681"/>
      <c r="O954" s="1681"/>
      <c r="P954" s="1681"/>
      <c r="Q954" s="1681"/>
      <c r="R954" s="1681"/>
      <c r="S954" s="1725"/>
      <c r="U954" s="66" t="s">
        <v>11</v>
      </c>
      <c r="V954" s="5"/>
      <c r="W954" s="5"/>
      <c r="X954" s="5"/>
      <c r="Y954" s="5"/>
      <c r="Z954" s="5"/>
      <c r="AA954" s="5"/>
      <c r="AB954" s="5"/>
      <c r="AC954" s="5"/>
      <c r="AD954" s="46"/>
      <c r="AE954" s="1724">
        <v>44903</v>
      </c>
      <c r="AF954" s="1681"/>
      <c r="AG954" s="1681"/>
      <c r="AH954" s="1681"/>
      <c r="AI954" s="1681"/>
      <c r="AJ954" s="1681"/>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550" t="s">
        <v>2757</v>
      </c>
      <c r="N955" s="1551"/>
      <c r="O955" s="1551"/>
      <c r="P955" s="1551"/>
      <c r="Q955" s="1551"/>
      <c r="R955" s="1551"/>
      <c r="S955" s="1552"/>
      <c r="U955" s="66" t="s">
        <v>12</v>
      </c>
      <c r="V955" s="5"/>
      <c r="W955" s="5"/>
      <c r="X955" s="5"/>
      <c r="Y955" s="5"/>
      <c r="Z955" s="5"/>
      <c r="AA955" s="5"/>
      <c r="AB955" s="5"/>
      <c r="AC955" s="5"/>
      <c r="AD955" s="46"/>
      <c r="AE955" s="1550" t="s">
        <v>2757</v>
      </c>
      <c r="AF955" s="1551"/>
      <c r="AG955" s="1551"/>
      <c r="AH955" s="1551"/>
      <c r="AI955" s="1551"/>
      <c r="AJ955" s="1551"/>
      <c r="AK955" s="15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892</v>
      </c>
      <c r="D956" s="5"/>
      <c r="E956" s="5"/>
      <c r="J956" s="1553" t="s">
        <v>2756</v>
      </c>
      <c r="K956" s="1554"/>
      <c r="L956" s="1554"/>
      <c r="M956" s="1554"/>
      <c r="N956" s="1554"/>
      <c r="O956" s="1554"/>
      <c r="P956" s="1554"/>
      <c r="Q956" s="1554"/>
      <c r="R956" s="1554"/>
      <c r="S956" s="1555"/>
      <c r="U956" s="66" t="s">
        <v>892</v>
      </c>
      <c r="V956" s="5"/>
      <c r="W956" s="5"/>
      <c r="AB956" s="1553" t="s">
        <v>2756</v>
      </c>
      <c r="AC956" s="1554"/>
      <c r="AD956" s="1554"/>
      <c r="AE956" s="1554"/>
      <c r="AF956" s="1554"/>
      <c r="AG956" s="1554"/>
      <c r="AH956" s="1554"/>
      <c r="AI956" s="1554"/>
      <c r="AJ956" s="1554"/>
      <c r="AK956" s="15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720">
        <v>0.59499999999999997</v>
      </c>
      <c r="N957" s="1721"/>
      <c r="O957" s="1721"/>
      <c r="P957" s="1721"/>
      <c r="Q957" s="1721"/>
      <c r="R957" s="1721"/>
      <c r="S957" s="1722"/>
      <c r="U957" s="66" t="s">
        <v>13</v>
      </c>
      <c r="V957" s="5"/>
      <c r="W957" s="5"/>
      <c r="X957" s="5"/>
      <c r="Y957" s="5"/>
      <c r="Z957" s="5"/>
      <c r="AA957" s="5"/>
      <c r="AB957" s="5"/>
      <c r="AC957" s="5"/>
      <c r="AD957" s="46"/>
      <c r="AE957" s="1723">
        <v>0.25</v>
      </c>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384">
        <v>50</v>
      </c>
      <c r="N958" s="1385"/>
      <c r="O958" s="1385"/>
      <c r="P958" s="1385"/>
      <c r="Q958" s="1385"/>
      <c r="R958" s="1385"/>
      <c r="S958" s="1386"/>
      <c r="U958" s="66" t="s">
        <v>14</v>
      </c>
      <c r="V958" s="5"/>
      <c r="W958" s="5"/>
      <c r="X958" s="5"/>
      <c r="Y958" s="5"/>
      <c r="Z958" s="5"/>
      <c r="AA958" s="5"/>
      <c r="AB958" s="5"/>
      <c r="AC958" s="5"/>
      <c r="AD958" s="46"/>
      <c r="AE958" s="1384">
        <v>21</v>
      </c>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436">
        <v>587184</v>
      </c>
      <c r="N959" s="1437"/>
      <c r="O959" s="1437"/>
      <c r="P959" s="1437"/>
      <c r="Q959" s="1437"/>
      <c r="R959" s="1437"/>
      <c r="S959" s="1438"/>
      <c r="U959" s="66" t="s">
        <v>15</v>
      </c>
      <c r="V959" s="5"/>
      <c r="W959" s="5"/>
      <c r="X959" s="5"/>
      <c r="Y959" s="5"/>
      <c r="Z959" s="5"/>
      <c r="AA959" s="5"/>
      <c r="AB959" s="5"/>
      <c r="AC959" s="5"/>
      <c r="AD959" s="46"/>
      <c r="AE959" s="1436">
        <v>218628</v>
      </c>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436">
        <f>M959*20</f>
        <v>11743680</v>
      </c>
      <c r="N960" s="1437"/>
      <c r="O960" s="1437"/>
      <c r="P960" s="1437"/>
      <c r="Q960" s="1437"/>
      <c r="R960" s="1437"/>
      <c r="S960" s="1438"/>
      <c r="U960" s="66" t="s">
        <v>16</v>
      </c>
      <c r="V960" s="5"/>
      <c r="W960" s="5"/>
      <c r="X960" s="5"/>
      <c r="Y960" s="5"/>
      <c r="Z960" s="5"/>
      <c r="AA960" s="5"/>
      <c r="AB960" s="5"/>
      <c r="AC960" s="5"/>
      <c r="AD960" s="46"/>
      <c r="AE960" s="1436">
        <f>AE959*20</f>
        <v>4372560</v>
      </c>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1775</v>
      </c>
      <c r="D961" s="5"/>
      <c r="E961" s="5"/>
      <c r="F961" s="5"/>
      <c r="G961" s="5"/>
      <c r="H961" s="5"/>
      <c r="I961" s="5"/>
      <c r="J961" s="5"/>
      <c r="K961" s="5"/>
      <c r="L961" s="46"/>
      <c r="M961" s="1428">
        <v>20</v>
      </c>
      <c r="N961" s="1429"/>
      <c r="O961" s="1429"/>
      <c r="P961" s="1429"/>
      <c r="Q961" s="1429"/>
      <c r="R961" s="1429"/>
      <c r="S961" s="1430"/>
      <c r="U961" s="121" t="s">
        <v>1775</v>
      </c>
      <c r="V961" s="5"/>
      <c r="W961" s="5"/>
      <c r="X961" s="5"/>
      <c r="Y961" s="5"/>
      <c r="Z961" s="5"/>
      <c r="AA961" s="5"/>
      <c r="AB961" s="5"/>
      <c r="AC961" s="5"/>
      <c r="AD961" s="46"/>
      <c r="AE961" s="1428">
        <v>20</v>
      </c>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579</v>
      </c>
      <c r="G966" s="5"/>
      <c r="H966" s="5"/>
      <c r="I966" s="5"/>
      <c r="J966" s="5"/>
      <c r="K966" s="5"/>
      <c r="L966" s="46"/>
      <c r="M966" s="1538"/>
      <c r="N966" s="1539"/>
      <c r="O966" s="1539"/>
      <c r="P966" s="1539"/>
      <c r="Q966" s="1539"/>
      <c r="R966" s="1539"/>
      <c r="S966" s="1540"/>
      <c r="T966" s="66" t="s">
        <v>799</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580</v>
      </c>
      <c r="G967" s="5"/>
      <c r="H967" s="5"/>
      <c r="I967" s="5"/>
      <c r="J967" s="5"/>
      <c r="K967" s="5"/>
      <c r="L967" s="46"/>
      <c r="M967" s="1538"/>
      <c r="N967" s="1539"/>
      <c r="O967" s="1539"/>
      <c r="P967" s="1539"/>
      <c r="Q967" s="1539"/>
      <c r="R967" s="1539"/>
      <c r="S967" s="1540"/>
      <c r="T967" s="66" t="s">
        <v>798</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916</v>
      </c>
      <c r="G968" s="5"/>
      <c r="H968" s="5"/>
      <c r="I968" s="5"/>
      <c r="J968" s="5"/>
      <c r="K968" s="5"/>
      <c r="L968" s="46"/>
      <c r="M968" s="1665" t="s">
        <v>599</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581</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472</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892</v>
      </c>
      <c r="G971" s="42"/>
      <c r="H971" s="42"/>
      <c r="I971" s="42"/>
      <c r="J971" s="42"/>
      <c r="K971" s="42"/>
      <c r="L971" s="58"/>
      <c r="M971" s="1659" t="s">
        <v>308</v>
      </c>
      <c r="N971" s="1660"/>
      <c r="O971" s="1660"/>
      <c r="P971" s="1660"/>
      <c r="Q971" s="1660"/>
      <c r="R971" s="1660"/>
      <c r="S971" s="1661"/>
      <c r="T971" s="1571"/>
      <c r="U971" s="1572"/>
      <c r="V971" s="1572"/>
      <c r="W971" s="1572"/>
      <c r="X971" s="1572"/>
      <c r="Y971" s="1572"/>
      <c r="Z971" s="1573"/>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473</v>
      </c>
      <c r="G972" s="42"/>
      <c r="H972" s="42"/>
      <c r="I972" s="42"/>
      <c r="J972" s="42"/>
      <c r="K972" s="42"/>
      <c r="L972" s="58"/>
      <c r="M972" s="1538"/>
      <c r="N972" s="1539"/>
      <c r="O972" s="1539"/>
      <c r="P972" s="1539"/>
      <c r="Q972" s="1539"/>
      <c r="R972" s="1539"/>
      <c r="S972" s="1540"/>
      <c r="T972" s="1571"/>
      <c r="U972" s="1572"/>
      <c r="V972" s="1572"/>
      <c r="W972" s="1572"/>
      <c r="X972" s="1572"/>
      <c r="Y972" s="1572"/>
      <c r="Z972" s="1573"/>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698" t="s">
        <v>677</v>
      </c>
      <c r="P973" s="1699"/>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726"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729"/>
      <c r="AB974" s="1730"/>
      <c r="AC974" s="1730"/>
      <c r="AD974" s="1730"/>
      <c r="AE974" s="1730"/>
      <c r="AF974" s="1730"/>
      <c r="AG974" s="17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64" t="s">
        <v>556</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47" t="s">
        <v>646</v>
      </c>
      <c r="E984" s="1548"/>
      <c r="F984" s="1548"/>
      <c r="G984" s="1548"/>
      <c r="H984" s="1548"/>
      <c r="I984" s="1548"/>
      <c r="J984" s="1548"/>
      <c r="K984" s="1548"/>
      <c r="L984" s="1548"/>
      <c r="M984" s="1548"/>
      <c r="N984" s="1548"/>
      <c r="O984" s="1548"/>
      <c r="P984" s="1548"/>
      <c r="Q984" s="1549"/>
      <c r="R984" s="1547" t="s">
        <v>647</v>
      </c>
      <c r="S984" s="1548"/>
      <c r="T984" s="1548"/>
      <c r="U984" s="1548"/>
      <c r="V984" s="1548"/>
      <c r="W984" s="1548"/>
      <c r="X984" s="1548"/>
      <c r="Y984" s="1548"/>
      <c r="Z984" s="1548"/>
      <c r="AA984" s="1549"/>
      <c r="AB984" s="1547" t="s">
        <v>648</v>
      </c>
      <c r="AC984" s="1548"/>
      <c r="AD984" s="1548"/>
      <c r="AE984" s="1548"/>
      <c r="AF984" s="1548"/>
      <c r="AG984" s="1548"/>
      <c r="AH984" s="1548"/>
      <c r="AI984" s="1549"/>
      <c r="AJ984" s="1547" t="s">
        <v>649</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22" t="s">
        <v>641</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314634</v>
      </c>
      <c r="S985" s="1594"/>
      <c r="T985" s="1594"/>
      <c r="U985" s="1594"/>
      <c r="V985" s="1594"/>
      <c r="W985" s="1594"/>
      <c r="X985" s="1594"/>
      <c r="Y985" s="1594"/>
      <c r="Z985" s="1594"/>
      <c r="AA985" s="1594"/>
      <c r="AB985" s="1425">
        <f>BN660</f>
        <v>0</v>
      </c>
      <c r="AC985" s="1426"/>
      <c r="AD985" s="1426"/>
      <c r="AE985" s="1426"/>
      <c r="AF985" s="1426"/>
      <c r="AG985" s="1426"/>
      <c r="AH985" s="1426"/>
      <c r="AI985" s="1427"/>
      <c r="AJ985" s="1512">
        <f>IF(ISERROR((R985*AB985)),0,(R985*AB985))</f>
        <v>0</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362770</v>
      </c>
      <c r="S986" s="1594"/>
      <c r="T986" s="1594"/>
      <c r="U986" s="1594"/>
      <c r="V986" s="1594"/>
      <c r="W986" s="1594"/>
      <c r="X986" s="1594"/>
      <c r="Y986" s="1594"/>
      <c r="Z986" s="1594"/>
      <c r="AA986" s="1594"/>
      <c r="AB986" s="1425">
        <f>BS660</f>
        <v>16</v>
      </c>
      <c r="AC986" s="1426"/>
      <c r="AD986" s="1426"/>
      <c r="AE986" s="1426"/>
      <c r="AF986" s="1426"/>
      <c r="AG986" s="1426"/>
      <c r="AH986" s="1426"/>
      <c r="AI986" s="1427"/>
      <c r="AJ986" s="1512">
        <f>IF(ISERROR((R986*AB986)),0,(R986*AB986))</f>
        <v>5804320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437600</v>
      </c>
      <c r="S987" s="1594"/>
      <c r="T987" s="1594"/>
      <c r="U987" s="1594"/>
      <c r="V987" s="1594"/>
      <c r="W987" s="1594"/>
      <c r="X987" s="1594"/>
      <c r="Y987" s="1594"/>
      <c r="Z987" s="1594"/>
      <c r="AA987" s="1594"/>
      <c r="AB987" s="1425">
        <f>BX660</f>
        <v>40</v>
      </c>
      <c r="AC987" s="1426"/>
      <c r="AD987" s="1426"/>
      <c r="AE987" s="1426"/>
      <c r="AF987" s="1426"/>
      <c r="AG987" s="1426"/>
      <c r="AH987" s="1426"/>
      <c r="AI987" s="1427"/>
      <c r="AJ987" s="1512">
        <f>IF(ISERROR((R987*AB987)),0,(R987*AB987))</f>
        <v>17504000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560128</v>
      </c>
      <c r="S988" s="1594"/>
      <c r="T988" s="1594"/>
      <c r="U988" s="1594"/>
      <c r="V988" s="1594"/>
      <c r="W988" s="1594"/>
      <c r="X988" s="1594"/>
      <c r="Y988" s="1594"/>
      <c r="Z988" s="1594"/>
      <c r="AA988" s="1594"/>
      <c r="AB988" s="1425">
        <f>CC660</f>
        <v>28</v>
      </c>
      <c r="AC988" s="1426"/>
      <c r="AD988" s="1426"/>
      <c r="AE988" s="1426"/>
      <c r="AF988" s="1426"/>
      <c r="AG988" s="1426"/>
      <c r="AH988" s="1426"/>
      <c r="AI988" s="1427"/>
      <c r="AJ988" s="1512">
        <f>IF(ISERROR((R988*AB988)),0,(R988*AB988))</f>
        <v>15683584</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22" t="s">
        <v>468</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624018</v>
      </c>
      <c r="S989" s="1594"/>
      <c r="T989" s="1594"/>
      <c r="U989" s="1594"/>
      <c r="V989" s="1594"/>
      <c r="W989" s="1594"/>
      <c r="X989" s="1594"/>
      <c r="Y989" s="1594"/>
      <c r="Z989" s="1594"/>
      <c r="AA989" s="1594"/>
      <c r="AB989" s="1425">
        <f>CM660+CH660</f>
        <v>0</v>
      </c>
      <c r="AC989" s="1426"/>
      <c r="AD989" s="1426"/>
      <c r="AE989" s="1426"/>
      <c r="AF989" s="1426"/>
      <c r="AG989" s="1426"/>
      <c r="AH989" s="1426"/>
      <c r="AI989" s="1427"/>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615" t="s">
        <v>800</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84</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91" t="s">
        <v>520</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2">
        <f>SUM(AJ985:AQ989)</f>
        <v>38991904</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674</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676</v>
      </c>
      <c r="D993" s="1528" t="s">
        <v>1326</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553</v>
      </c>
      <c r="AH993" s="1525"/>
      <c r="AI993" s="87"/>
      <c r="AJ993" s="1556">
        <f>ROUND(IF(AND(AG993="yes",D999&gt;0),AJ991*0.2,0),0)</f>
        <v>7798381</v>
      </c>
      <c r="AK993" s="1557"/>
      <c r="AL993" s="1557"/>
      <c r="AM993" s="1557"/>
      <c r="AN993" s="1557"/>
      <c r="AO993" s="1557"/>
      <c r="AP993" s="1557"/>
      <c r="AQ993" s="155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576" t="s">
        <v>2570</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59"/>
      <c r="AK994" s="1560"/>
      <c r="AL994" s="1560"/>
      <c r="AM994" s="1560"/>
      <c r="AN994" s="1560"/>
      <c r="AO994" s="1560"/>
      <c r="AP994" s="1560"/>
      <c r="AQ994" s="156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59"/>
      <c r="AK995" s="1560"/>
      <c r="AL995" s="1560"/>
      <c r="AM995" s="1560"/>
      <c r="AN995" s="1560"/>
      <c r="AO995" s="1560"/>
      <c r="AP995" s="1560"/>
      <c r="AQ995" s="156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59"/>
      <c r="AK996" s="1560"/>
      <c r="AL996" s="1560"/>
      <c r="AM996" s="1560"/>
      <c r="AN996" s="1560"/>
      <c r="AO996" s="1560"/>
      <c r="AP996" s="1560"/>
      <c r="AQ996" s="156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59"/>
      <c r="AK997" s="1560"/>
      <c r="AL997" s="1560"/>
      <c r="AM997" s="1560"/>
      <c r="AN997" s="1560"/>
      <c r="AO997" s="1560"/>
      <c r="AP997" s="1560"/>
      <c r="AQ997" s="156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579" t="s">
        <v>2571</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59"/>
      <c r="AK998" s="1560"/>
      <c r="AL998" s="1560"/>
      <c r="AM998" s="1560"/>
      <c r="AN998" s="1560"/>
      <c r="AO998" s="1560"/>
      <c r="AP998" s="1560"/>
      <c r="AQ998" s="156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618" t="s">
        <v>2737</v>
      </c>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2"/>
      <c r="AK999" s="1563"/>
      <c r="AL999" s="1563"/>
      <c r="AM999" s="1563"/>
      <c r="AN999" s="1563"/>
      <c r="AO999" s="1563"/>
      <c r="AP999" s="1563"/>
      <c r="AQ999" s="156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518" t="s">
        <v>1396</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677</v>
      </c>
      <c r="AH1000" s="1527"/>
      <c r="AI1000" s="87"/>
      <c r="AJ1000" s="1556">
        <f>ROUND(IF(AG1000="yes",AJ991*0.05,0),0)</f>
        <v>0</v>
      </c>
      <c r="AK1000" s="1557"/>
      <c r="AL1000" s="1557"/>
      <c r="AM1000" s="1557"/>
      <c r="AN1000" s="1557"/>
      <c r="AO1000" s="1557"/>
      <c r="AP1000" s="1557"/>
      <c r="AQ1000" s="155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576" t="s">
        <v>1394</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59"/>
      <c r="AK1001" s="1560"/>
      <c r="AL1001" s="1560"/>
      <c r="AM1001" s="1560"/>
      <c r="AN1001" s="1560"/>
      <c r="AO1001" s="1560"/>
      <c r="AP1001" s="1560"/>
      <c r="AQ1001" s="156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59"/>
      <c r="AK1002" s="1560"/>
      <c r="AL1002" s="1560"/>
      <c r="AM1002" s="1560"/>
      <c r="AN1002" s="1560"/>
      <c r="AO1002" s="1560"/>
      <c r="AP1002" s="1560"/>
      <c r="AQ1002" s="1561"/>
      <c r="AR1002" s="68"/>
      <c r="AS1002" s="68"/>
      <c r="AT1002" s="68"/>
      <c r="AU1002" s="68"/>
      <c r="AV1002" s="68"/>
      <c r="AW1002" s="68"/>
      <c r="AX1002" s="68"/>
      <c r="AY1002" s="949">
        <f>G753+O797</f>
        <v>83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59"/>
      <c r="AK1003" s="1560"/>
      <c r="AL1003" s="1560"/>
      <c r="AM1003" s="1560"/>
      <c r="AN1003" s="1560"/>
      <c r="AO1003" s="1560"/>
      <c r="AP1003" s="1560"/>
      <c r="AQ1003" s="156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59"/>
      <c r="AK1004" s="1560"/>
      <c r="AL1004" s="1560"/>
      <c r="AM1004" s="1560"/>
      <c r="AN1004" s="1560"/>
      <c r="AO1004" s="1560"/>
      <c r="AP1004" s="1560"/>
      <c r="AQ1004" s="1561"/>
      <c r="AR1004" s="68"/>
      <c r="AS1004" s="68"/>
      <c r="AT1004" s="68"/>
      <c r="AU1004" s="68"/>
      <c r="AV1004" s="68"/>
      <c r="AW1004" s="68"/>
      <c r="AX1004" s="68"/>
      <c r="AY1004" s="948">
        <f>ROUNDDOWN(X1047/I1047,2)</f>
        <v>0.39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2"/>
      <c r="AK1005" s="1563"/>
      <c r="AL1005" s="1563"/>
      <c r="AM1005" s="1563"/>
      <c r="AN1005" s="1563"/>
      <c r="AO1005" s="1563"/>
      <c r="AP1005" s="1563"/>
      <c r="AQ1005" s="1564"/>
      <c r="AR1005" s="68"/>
      <c r="AS1005" s="68"/>
      <c r="AT1005" s="68"/>
      <c r="AU1005" s="68"/>
      <c r="AV1005" s="68"/>
      <c r="AW1005" s="68"/>
      <c r="AX1005" s="68"/>
      <c r="AY1005" s="948">
        <f>ROUNDDOWN(X1051/I1051,2)</f>
        <v>0.6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680</v>
      </c>
      <c r="D1006" s="1518" t="s">
        <v>1873</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677</v>
      </c>
      <c r="AH1006" s="1527"/>
      <c r="AI1006" s="87"/>
      <c r="AJ1006" s="1556">
        <f>ROUND(IF(AG1006="yes",AJ991*0.1,0),0)</f>
        <v>0</v>
      </c>
      <c r="AK1006" s="1557"/>
      <c r="AL1006" s="1557"/>
      <c r="AM1006" s="1557"/>
      <c r="AN1006" s="1557"/>
      <c r="AO1006" s="1557"/>
      <c r="AP1006" s="1557"/>
      <c r="AQ1006" s="1558"/>
      <c r="AR1006" s="68"/>
      <c r="AS1006" s="68"/>
      <c r="AT1006" s="68"/>
      <c r="AU1006" s="68"/>
      <c r="AV1006" s="68"/>
      <c r="AW1006" s="68"/>
      <c r="AX1006" s="68"/>
      <c r="BB1006" s="34"/>
      <c r="BD1006" s="34"/>
      <c r="BE1006" s="34"/>
      <c r="BF1006" s="34"/>
    </row>
    <row r="1007" spans="1:157" ht="13.15" customHeight="1">
      <c r="A1007" s="14"/>
      <c r="B1007" s="73"/>
      <c r="C1007" s="74"/>
      <c r="D1007" s="1506" t="s">
        <v>1395</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9"/>
      <c r="AK1007" s="1560"/>
      <c r="AL1007" s="1560"/>
      <c r="AM1007" s="1560"/>
      <c r="AN1007" s="1560"/>
      <c r="AO1007" s="1560"/>
      <c r="AP1007" s="1560"/>
      <c r="AQ1007" s="1561"/>
      <c r="AR1007" s="68"/>
      <c r="AS1007" s="68"/>
      <c r="AT1007" s="68"/>
      <c r="AU1007" s="68"/>
      <c r="AV1007" s="68"/>
      <c r="AW1007" s="68"/>
      <c r="AX1007" s="68"/>
    </row>
    <row r="1008" spans="1:157" ht="13.15"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9"/>
      <c r="AK1008" s="1560"/>
      <c r="AL1008" s="1560"/>
      <c r="AM1008" s="1560"/>
      <c r="AN1008" s="1560"/>
      <c r="AO1008" s="1560"/>
      <c r="AP1008" s="1560"/>
      <c r="AQ1008" s="1561"/>
      <c r="AR1008" s="68"/>
      <c r="AS1008" s="68"/>
      <c r="AT1008" s="68"/>
      <c r="AU1008" s="68"/>
      <c r="AV1008" s="68"/>
      <c r="AW1008" s="68"/>
      <c r="AX1008" s="68"/>
    </row>
    <row r="1009" spans="1:51" ht="13.15"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2"/>
      <c r="AK1009" s="1563"/>
      <c r="AL1009" s="1563"/>
      <c r="AM1009" s="1563"/>
      <c r="AN1009" s="1563"/>
      <c r="AO1009" s="1563"/>
      <c r="AP1009" s="1563"/>
      <c r="AQ1009" s="1564"/>
      <c r="AR1009" s="68"/>
      <c r="AS1009" s="68"/>
      <c r="AT1009" s="68"/>
      <c r="AU1009" s="68"/>
      <c r="AV1009" s="68"/>
      <c r="AW1009" s="68"/>
      <c r="AX1009" s="68"/>
    </row>
    <row r="1010" spans="1:51" ht="13.15" customHeight="1">
      <c r="A1010" s="14"/>
      <c r="B1010" s="79"/>
      <c r="C1010" s="80" t="s">
        <v>213</v>
      </c>
      <c r="D1010" s="1518" t="s">
        <v>1397</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677</v>
      </c>
      <c r="AH1010" s="1527"/>
      <c r="AI1010" s="87"/>
      <c r="AJ1010" s="1556">
        <f>ROUND(IF(AG1010="yes",AJ991*0.02,0),0)</f>
        <v>0</v>
      </c>
      <c r="AK1010" s="1557"/>
      <c r="AL1010" s="1557"/>
      <c r="AM1010" s="1557"/>
      <c r="AN1010" s="1557"/>
      <c r="AO1010" s="1557"/>
      <c r="AP1010" s="1557"/>
      <c r="AQ1010" s="1558"/>
      <c r="AR1010" s="68"/>
      <c r="AS1010" s="68"/>
      <c r="AT1010" s="68"/>
      <c r="AU1010" s="68"/>
      <c r="AV1010" s="68"/>
      <c r="AW1010" s="68"/>
      <c r="AX1010" s="68"/>
      <c r="AY1010" s="215">
        <f>IF(SUM(AY1012:AY1020)&lt;=0.1,SUM(AY1012:AY1020),0.1)</f>
        <v>0</v>
      </c>
    </row>
    <row r="1011" spans="1:51" ht="14.25" customHeight="1">
      <c r="A1011" s="14"/>
      <c r="B1011" s="73"/>
      <c r="C1011" s="74"/>
      <c r="D1011" s="1531" t="s">
        <v>1398</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2"/>
      <c r="AK1011" s="1563"/>
      <c r="AL1011" s="1563"/>
      <c r="AM1011" s="1563"/>
      <c r="AN1011" s="1563"/>
      <c r="AO1011" s="1563"/>
      <c r="AP1011" s="1563"/>
      <c r="AQ1011" s="1564"/>
      <c r="AR1011" s="68"/>
      <c r="AS1011" s="68"/>
      <c r="AT1011" s="68"/>
      <c r="AU1011" s="68"/>
      <c r="AV1011" s="68"/>
      <c r="AW1011" s="68"/>
      <c r="AX1011" s="68"/>
    </row>
    <row r="1012" spans="1:51" ht="13.15" customHeight="1">
      <c r="A1012" s="14"/>
      <c r="B1012" s="79"/>
      <c r="C1012" s="80" t="s">
        <v>216</v>
      </c>
      <c r="D1012" s="1518" t="s">
        <v>1399</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677</v>
      </c>
      <c r="AH1012" s="1527"/>
      <c r="AI1012" s="79"/>
      <c r="AJ1012" s="1556">
        <f>ROUND(IF(AG1012="yes",AJ991*0.02,0),0)</f>
        <v>0</v>
      </c>
      <c r="AK1012" s="1557"/>
      <c r="AL1012" s="1557"/>
      <c r="AM1012" s="1557"/>
      <c r="AN1012" s="1557"/>
      <c r="AO1012" s="1557"/>
      <c r="AP1012" s="1557"/>
      <c r="AQ1012" s="1558"/>
      <c r="AR1012" s="68"/>
      <c r="AS1012" s="68"/>
      <c r="AT1012" s="68"/>
      <c r="AU1012" s="68"/>
      <c r="AV1012" s="68"/>
      <c r="AW1012" s="68"/>
      <c r="AX1012" s="68"/>
      <c r="AY1012" s="213">
        <f>IF(A1064="Yes",0.05,0)</f>
        <v>0</v>
      </c>
    </row>
    <row r="1013" spans="1:51" ht="13.15" customHeight="1">
      <c r="A1013" s="14"/>
      <c r="B1013" s="73"/>
      <c r="C1013" s="74"/>
      <c r="D1013" s="1506" t="s">
        <v>1400</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9"/>
      <c r="AK1013" s="1560"/>
      <c r="AL1013" s="1560"/>
      <c r="AM1013" s="1560"/>
      <c r="AN1013" s="1560"/>
      <c r="AO1013" s="1560"/>
      <c r="AP1013" s="1560"/>
      <c r="AQ1013" s="1561"/>
      <c r="AR1013" s="68"/>
      <c r="AS1013" s="68"/>
      <c r="AT1013" s="68"/>
      <c r="AU1013" s="68"/>
      <c r="AV1013" s="68"/>
      <c r="AW1013" s="68"/>
      <c r="AX1013" s="68"/>
      <c r="AY1013" s="213">
        <f>IF(A1070="Yes",0.02,0)</f>
        <v>0</v>
      </c>
    </row>
    <row r="1014" spans="1:51" ht="13.15"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2"/>
      <c r="AK1014" s="1563"/>
      <c r="AL1014" s="1563"/>
      <c r="AM1014" s="1563"/>
      <c r="AN1014" s="1563"/>
      <c r="AO1014" s="1563"/>
      <c r="AP1014" s="1563"/>
      <c r="AQ1014" s="1564"/>
      <c r="AR1014" s="68"/>
      <c r="AS1014" s="68"/>
      <c r="AT1014" s="68"/>
      <c r="AU1014" s="68"/>
      <c r="AV1014" s="68"/>
      <c r="AW1014" s="68"/>
      <c r="AX1014" s="68"/>
      <c r="AY1014" s="213">
        <f>IF(A1076="Yes",0.04,0)</f>
        <v>0</v>
      </c>
    </row>
    <row r="1015" spans="1:51" ht="13.15" customHeight="1">
      <c r="A1015" s="14"/>
      <c r="B1015" s="79"/>
      <c r="C1015" s="80" t="s">
        <v>219</v>
      </c>
      <c r="D1015" s="1528" t="s">
        <v>1401</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677</v>
      </c>
      <c r="AH1015" s="1527"/>
      <c r="AI1015" s="87"/>
      <c r="AJ1015" s="1556">
        <f>IF(AG1015="yes",AJ991*AY1010,0)</f>
        <v>0</v>
      </c>
      <c r="AK1015" s="1557"/>
      <c r="AL1015" s="1557"/>
      <c r="AM1015" s="1557"/>
      <c r="AN1015" s="1557"/>
      <c r="AO1015" s="1557"/>
      <c r="AP1015" s="1557"/>
      <c r="AQ1015" s="1558"/>
      <c r="AR1015" s="68"/>
      <c r="AS1015" s="68"/>
      <c r="AT1015" s="68"/>
      <c r="AU1015" s="68"/>
      <c r="AV1015" s="68"/>
      <c r="AW1015" s="68"/>
      <c r="AX1015" s="68"/>
      <c r="AY1015" s="213">
        <f>IF(A1083="Yes",0.04,0)</f>
        <v>0</v>
      </c>
    </row>
    <row r="1016" spans="1:51" ht="13.15" customHeight="1">
      <c r="A1016" s="14"/>
      <c r="B1016" s="73"/>
      <c r="C1016" s="74"/>
      <c r="D1016" s="1506" t="s">
        <v>1402</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9"/>
      <c r="AK1016" s="1560"/>
      <c r="AL1016" s="1560"/>
      <c r="AM1016" s="1560"/>
      <c r="AN1016" s="1560"/>
      <c r="AO1016" s="1560"/>
      <c r="AP1016" s="1560"/>
      <c r="AQ1016" s="1561"/>
      <c r="AR1016" s="68"/>
      <c r="AS1016" s="68"/>
      <c r="AT1016" s="68"/>
      <c r="AU1016" s="68"/>
      <c r="AV1016" s="68"/>
      <c r="AW1016" s="68"/>
      <c r="AX1016" s="68"/>
      <c r="AY1016" s="213">
        <f>IF(A1086="Yes",0.01,0)</f>
        <v>0</v>
      </c>
    </row>
    <row r="1017" spans="1:51" ht="13.15"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9"/>
      <c r="AK1017" s="1560"/>
      <c r="AL1017" s="1560"/>
      <c r="AM1017" s="1560"/>
      <c r="AN1017" s="1560"/>
      <c r="AO1017" s="1560"/>
      <c r="AP1017" s="1560"/>
      <c r="AQ1017" s="1561"/>
      <c r="AR1017" s="68"/>
      <c r="AS1017" s="68"/>
      <c r="AT1017" s="68"/>
      <c r="AU1017" s="68"/>
      <c r="AV1017" s="68"/>
      <c r="AW1017" s="68"/>
      <c r="AX1017" s="68"/>
      <c r="AY1017" s="213">
        <f>IF(A1091="Yes",0.01,0)</f>
        <v>0</v>
      </c>
    </row>
    <row r="1018" spans="1:51" ht="13.15"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2"/>
      <c r="AK1018" s="1563"/>
      <c r="AL1018" s="1563"/>
      <c r="AM1018" s="1563"/>
      <c r="AN1018" s="1563"/>
      <c r="AO1018" s="1563"/>
      <c r="AP1018" s="1563"/>
      <c r="AQ1018" s="1564"/>
      <c r="AR1018" s="68"/>
      <c r="AS1018" s="68"/>
      <c r="AT1018" s="68"/>
      <c r="AU1018" s="68"/>
      <c r="AV1018" s="68"/>
      <c r="AW1018" s="68"/>
      <c r="AX1018" s="68"/>
      <c r="AY1018" s="213">
        <f>IF(A1094="Yes",0.01,0)</f>
        <v>0</v>
      </c>
    </row>
    <row r="1019" spans="1:51" ht="13.15" customHeight="1">
      <c r="A1019" s="14"/>
      <c r="B1019" s="79"/>
      <c r="C1019" s="80" t="s">
        <v>224</v>
      </c>
      <c r="D1019" s="1606" t="s">
        <v>1403</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6" t="s">
        <v>677</v>
      </c>
      <c r="AH1019" s="1527"/>
      <c r="AI1019" s="87"/>
      <c r="AJ1019" s="1556">
        <f>ROUND(IF(AND(AG1019="Yes",J1023&lt;&gt;"N/A",AF1022&lt;&gt;""),MIN(AF1022,(0.15*AJ991)),0),0)</f>
        <v>0</v>
      </c>
      <c r="AK1019" s="1557"/>
      <c r="AL1019" s="1557"/>
      <c r="AM1019" s="1557"/>
      <c r="AN1019" s="1557"/>
      <c r="AO1019" s="1557"/>
      <c r="AP1019" s="1557"/>
      <c r="AQ1019" s="1558"/>
      <c r="AR1019" s="68"/>
      <c r="AS1019" s="68"/>
      <c r="AT1019" s="68"/>
      <c r="AU1019" s="68"/>
      <c r="AV1019" s="68"/>
      <c r="AW1019" s="68"/>
      <c r="AX1019" s="68"/>
      <c r="AY1019" s="213">
        <f>IF(A1098="Yes",0.02,0)</f>
        <v>0</v>
      </c>
    </row>
    <row r="1020" spans="1:51" ht="13.1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4" t="str">
        <f>IF(AG1019="yes","Please Select Type and Enter Amount:","")</f>
        <v/>
      </c>
      <c r="AG1020" s="1535"/>
      <c r="AH1020" s="1535"/>
      <c r="AI1020" s="1536"/>
      <c r="AJ1020" s="1559"/>
      <c r="AK1020" s="1560"/>
      <c r="AL1020" s="1560"/>
      <c r="AM1020" s="1560"/>
      <c r="AN1020" s="1560"/>
      <c r="AO1020" s="1560"/>
      <c r="AP1020" s="1560"/>
      <c r="AQ1020" s="1561"/>
      <c r="AR1020" s="68"/>
      <c r="AS1020" s="68"/>
      <c r="AT1020" s="68"/>
      <c r="AU1020" s="68"/>
      <c r="AV1020" s="68"/>
      <c r="AW1020" s="68"/>
      <c r="AX1020" s="68"/>
      <c r="AY1020" s="214">
        <f>IF(A1103="Yes",0.02,0)</f>
        <v>0</v>
      </c>
    </row>
    <row r="1021" spans="1:51" ht="13.15" customHeight="1">
      <c r="A1021" s="14"/>
      <c r="B1021" s="81"/>
      <c r="C1021" s="84"/>
      <c r="D1021" s="1506" t="s">
        <v>1404</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9"/>
      <c r="AK1021" s="1560"/>
      <c r="AL1021" s="1560"/>
      <c r="AM1021" s="1560"/>
      <c r="AN1021" s="1560"/>
      <c r="AO1021" s="1560"/>
      <c r="AP1021" s="1560"/>
      <c r="AQ1021" s="1561"/>
      <c r="AR1021" s="68"/>
      <c r="AS1021" s="68"/>
      <c r="AT1021" s="68"/>
      <c r="AU1021" s="68"/>
      <c r="AV1021" s="68"/>
      <c r="AW1021" s="68"/>
      <c r="AX1021" s="68"/>
      <c r="AY1021" s="68"/>
    </row>
    <row r="1022" spans="1:51" ht="13.15"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9"/>
      <c r="AK1022" s="1560"/>
      <c r="AL1022" s="1560"/>
      <c r="AM1022" s="1560"/>
      <c r="AN1022" s="1560"/>
      <c r="AO1022" s="1560"/>
      <c r="AP1022" s="1560"/>
      <c r="AQ1022" s="1561"/>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09" t="s">
        <v>599</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2"/>
      <c r="AK1023" s="1563"/>
      <c r="AL1023" s="1563"/>
      <c r="AM1023" s="1563"/>
      <c r="AN1023" s="1563"/>
      <c r="AO1023" s="1563"/>
      <c r="AP1023" s="1563"/>
      <c r="AQ1023" s="1564"/>
      <c r="AR1023" s="68"/>
      <c r="AS1023" s="68"/>
      <c r="AT1023" s="68"/>
      <c r="AU1023" s="68"/>
      <c r="AV1023" s="68"/>
      <c r="AW1023" s="68"/>
      <c r="AX1023" s="68"/>
      <c r="AY1023" s="68"/>
    </row>
    <row r="1024" spans="1:51" ht="13.15" customHeight="1">
      <c r="A1024" s="14"/>
      <c r="B1024" s="79"/>
      <c r="C1024" s="80" t="s">
        <v>230</v>
      </c>
      <c r="D1024" s="1518" t="s">
        <v>1405</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677</v>
      </c>
      <c r="AH1024" s="1527"/>
      <c r="AI1024" s="87"/>
      <c r="AJ1024" s="1556">
        <f>ROUND(IF(AG1024="Yes",AF1026,0),0)</f>
        <v>0</v>
      </c>
      <c r="AK1024" s="1557"/>
      <c r="AL1024" s="1557"/>
      <c r="AM1024" s="1557"/>
      <c r="AN1024" s="1557"/>
      <c r="AO1024" s="1557"/>
      <c r="AP1024" s="1557"/>
      <c r="AQ1024" s="1558"/>
      <c r="AR1024" s="68"/>
      <c r="AS1024" s="68"/>
      <c r="AT1024" s="68"/>
      <c r="AU1024" s="68"/>
      <c r="AV1024" s="68"/>
      <c r="AW1024" s="68"/>
      <c r="AX1024" s="68"/>
      <c r="AY1024" s="68"/>
    </row>
    <row r="1025" spans="1:51" ht="13.15" customHeight="1">
      <c r="A1025" s="14"/>
      <c r="B1025" s="73"/>
      <c r="C1025" s="74"/>
      <c r="D1025" s="1506" t="s">
        <v>1880</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2" t="str">
        <f>IF(AG1024="yes","Enter Amount:","")</f>
        <v/>
      </c>
      <c r="AG1025" s="1613"/>
      <c r="AH1025" s="1613"/>
      <c r="AI1025" s="1614"/>
      <c r="AJ1025" s="1559"/>
      <c r="AK1025" s="1560"/>
      <c r="AL1025" s="1560"/>
      <c r="AM1025" s="1560"/>
      <c r="AN1025" s="1560"/>
      <c r="AO1025" s="1560"/>
      <c r="AP1025" s="1560"/>
      <c r="AQ1025" s="1561"/>
      <c r="AR1025" s="68"/>
      <c r="AS1025" s="68"/>
      <c r="AT1025" s="68"/>
      <c r="AU1025" s="68"/>
      <c r="AV1025" s="68"/>
      <c r="AW1025" s="68"/>
      <c r="AX1025" s="68"/>
      <c r="AY1025" s="68"/>
    </row>
    <row r="1026" spans="1:51" ht="13.15"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c r="AG1026" s="1537"/>
      <c r="AH1026" s="1537"/>
      <c r="AI1026" s="1537"/>
      <c r="AJ1026" s="1559"/>
      <c r="AK1026" s="1560"/>
      <c r="AL1026" s="1560"/>
      <c r="AM1026" s="1560"/>
      <c r="AN1026" s="1560"/>
      <c r="AO1026" s="1560"/>
      <c r="AP1026" s="1560"/>
      <c r="AQ1026" s="1561"/>
      <c r="AR1026" s="68"/>
      <c r="AS1026" s="68"/>
      <c r="AT1026" s="68"/>
      <c r="AU1026" s="68"/>
      <c r="AV1026" s="68"/>
      <c r="AW1026" s="68"/>
      <c r="AX1026" s="68"/>
      <c r="AY1026" s="68"/>
    </row>
    <row r="1027" spans="1:51" ht="13.15"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2"/>
      <c r="AK1027" s="1563"/>
      <c r="AL1027" s="1563"/>
      <c r="AM1027" s="1563"/>
      <c r="AN1027" s="1563"/>
      <c r="AO1027" s="1563"/>
      <c r="AP1027" s="1563"/>
      <c r="AQ1027" s="1564"/>
      <c r="AR1027" s="68"/>
      <c r="AS1027" s="68"/>
      <c r="AT1027" s="68"/>
      <c r="AU1027" s="68"/>
      <c r="AV1027" s="68"/>
      <c r="AW1027" s="68"/>
      <c r="AX1027" s="68"/>
      <c r="AY1027" s="68"/>
    </row>
    <row r="1028" spans="1:51" ht="13.15" customHeight="1">
      <c r="A1028" s="14"/>
      <c r="B1028" s="79"/>
      <c r="C1028" s="80" t="s">
        <v>235</v>
      </c>
      <c r="D1028" s="1528" t="s">
        <v>1406</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677</v>
      </c>
      <c r="AH1028" s="1527"/>
      <c r="AI1028" s="87"/>
      <c r="AJ1028" s="1556">
        <f>ROUND(IF(AG1028="yes",(AJ991*0.1),0),0)</f>
        <v>0</v>
      </c>
      <c r="AK1028" s="1557"/>
      <c r="AL1028" s="1557"/>
      <c r="AM1028" s="1557"/>
      <c r="AN1028" s="1557"/>
      <c r="AO1028" s="1557"/>
      <c r="AP1028" s="1557"/>
      <c r="AQ1028" s="1558"/>
      <c r="AR1028" s="68"/>
      <c r="AS1028" s="68"/>
      <c r="AT1028" s="68"/>
      <c r="AU1028" s="68"/>
      <c r="AV1028" s="68"/>
      <c r="AW1028" s="68"/>
      <c r="AX1028" s="68"/>
      <c r="AY1028" s="68"/>
    </row>
    <row r="1029" spans="1:51" ht="13.15" customHeight="1">
      <c r="A1029" s="14"/>
      <c r="B1029" s="73"/>
      <c r="C1029" s="74"/>
      <c r="D1029" s="1506" t="s">
        <v>1407</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9"/>
      <c r="AK1029" s="1560"/>
      <c r="AL1029" s="1560"/>
      <c r="AM1029" s="1560"/>
      <c r="AN1029" s="1560"/>
      <c r="AO1029" s="1560"/>
      <c r="AP1029" s="1560"/>
      <c r="AQ1029" s="1561"/>
      <c r="AR1029" s="68"/>
      <c r="AS1029" s="68"/>
      <c r="AT1029" s="68"/>
      <c r="AU1029" s="68"/>
      <c r="AV1029" s="68"/>
      <c r="AW1029" s="68"/>
      <c r="AX1029" s="68"/>
      <c r="AY1029" s="68"/>
    </row>
    <row r="1030" spans="1:51" ht="13.15"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2"/>
      <c r="AK1030" s="1563"/>
      <c r="AL1030" s="1563"/>
      <c r="AM1030" s="1563"/>
      <c r="AN1030" s="1563"/>
      <c r="AO1030" s="1563"/>
      <c r="AP1030" s="1563"/>
      <c r="AQ1030" s="1564"/>
      <c r="AR1030" s="68"/>
      <c r="AS1030" s="68"/>
      <c r="AT1030" s="68"/>
      <c r="AU1030" s="68"/>
      <c r="AV1030" s="68"/>
      <c r="AW1030" s="68"/>
      <c r="AX1030" s="68"/>
      <c r="AY1030" s="68"/>
    </row>
    <row r="1031" spans="1:51" ht="13.15" customHeight="1">
      <c r="A1031" s="14"/>
      <c r="B1031" s="73"/>
      <c r="C1031" s="367" t="s">
        <v>696</v>
      </c>
      <c r="D1031" s="1518" t="s">
        <v>1876</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677</v>
      </c>
      <c r="AH1031" s="1527"/>
      <c r="AI1031" s="87"/>
      <c r="AJ1031" s="1556">
        <f>ROUND(IF(AG1031="yes",(AJ991*0.15),0),0)</f>
        <v>0</v>
      </c>
      <c r="AK1031" s="1557"/>
      <c r="AL1031" s="1557"/>
      <c r="AM1031" s="1557"/>
      <c r="AN1031" s="1557"/>
      <c r="AO1031" s="1557"/>
      <c r="AP1031" s="1557"/>
      <c r="AQ1031" s="1558"/>
      <c r="AR1031" s="68"/>
      <c r="AS1031" s="68"/>
      <c r="AT1031" s="68"/>
      <c r="AU1031" s="68"/>
      <c r="AV1031" s="68"/>
      <c r="AW1031" s="68"/>
      <c r="AX1031" s="68"/>
      <c r="AY1031" s="68"/>
    </row>
    <row r="1032" spans="1:51" ht="13.15" customHeight="1">
      <c r="A1032" s="14"/>
      <c r="B1032" s="73"/>
      <c r="C1032" s="74"/>
      <c r="D1032" s="1565"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6"/>
      <c r="AF1032" s="950"/>
      <c r="AG1032" s="951"/>
      <c r="AH1032" s="951"/>
      <c r="AI1032" s="952"/>
      <c r="AJ1032" s="1559"/>
      <c r="AK1032" s="1560"/>
      <c r="AL1032" s="1560"/>
      <c r="AM1032" s="1560"/>
      <c r="AN1032" s="1560"/>
      <c r="AO1032" s="1560"/>
      <c r="AP1032" s="1560"/>
      <c r="AQ1032" s="1561"/>
      <c r="AR1032" s="68"/>
      <c r="AS1032" s="68"/>
      <c r="AT1032" s="68"/>
      <c r="AU1032" s="68"/>
      <c r="AV1032" s="68"/>
      <c r="AW1032" s="68"/>
      <c r="AX1032" s="68"/>
      <c r="AY1032" s="68"/>
    </row>
    <row r="1033" spans="1:51" ht="13.15" customHeight="1">
      <c r="A1033" s="14"/>
      <c r="B1033" s="73"/>
      <c r="C1033" s="74"/>
      <c r="D1033" s="156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6"/>
      <c r="AF1033" s="950"/>
      <c r="AG1033" s="951"/>
      <c r="AH1033" s="951"/>
      <c r="AI1033" s="952"/>
      <c r="AJ1033" s="1559"/>
      <c r="AK1033" s="1560"/>
      <c r="AL1033" s="1560"/>
      <c r="AM1033" s="1560"/>
      <c r="AN1033" s="1560"/>
      <c r="AO1033" s="1560"/>
      <c r="AP1033" s="1560"/>
      <c r="AQ1033" s="1561"/>
      <c r="AR1033" s="68"/>
      <c r="AS1033" s="68"/>
      <c r="AT1033" s="68"/>
      <c r="AU1033" s="68"/>
      <c r="AV1033" s="68"/>
      <c r="AW1033" s="68"/>
      <c r="AX1033" s="68"/>
      <c r="AY1033" s="68"/>
    </row>
    <row r="1034" spans="1:51" ht="13.15"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562"/>
      <c r="AK1034" s="1563"/>
      <c r="AL1034" s="1563"/>
      <c r="AM1034" s="1563"/>
      <c r="AN1034" s="1563"/>
      <c r="AO1034" s="1563"/>
      <c r="AP1034" s="1563"/>
      <c r="AQ1034" s="1564"/>
      <c r="AR1034" s="68"/>
      <c r="AS1034" s="68"/>
      <c r="AT1034" s="68"/>
      <c r="AU1034" s="68"/>
      <c r="AV1034" s="68"/>
      <c r="AW1034" s="68"/>
      <c r="AX1034" s="68"/>
      <c r="AY1034" s="68"/>
    </row>
    <row r="1035" spans="1:51" ht="13.15" customHeight="1">
      <c r="A1035" s="14"/>
      <c r="B1035" s="73"/>
      <c r="C1035" s="367" t="s">
        <v>696</v>
      </c>
      <c r="D1035" s="1528" t="s">
        <v>1878</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7" t="s">
        <v>677</v>
      </c>
      <c r="AH1035" s="1728"/>
      <c r="AI1035" s="83"/>
      <c r="AJ1035" s="1556">
        <f>ROUND(IF(AND(AG1035="yes",AJ1031=0),(AJ991*0.1),0),0)</f>
        <v>0</v>
      </c>
      <c r="AK1035" s="1557"/>
      <c r="AL1035" s="1557"/>
      <c r="AM1035" s="1557"/>
      <c r="AN1035" s="1557"/>
      <c r="AO1035" s="1557"/>
      <c r="AP1035" s="1557"/>
      <c r="AQ1035" s="1558"/>
      <c r="AR1035" s="68"/>
      <c r="AS1035" s="68"/>
      <c r="AT1035" s="68"/>
      <c r="AU1035" s="68"/>
      <c r="AV1035" s="68"/>
      <c r="AW1035" s="68"/>
      <c r="AX1035" s="68"/>
      <c r="AY1035" s="68"/>
    </row>
    <row r="1036" spans="1:51" ht="13.15" customHeight="1">
      <c r="A1036" s="14"/>
      <c r="B1036" s="73"/>
      <c r="C1036" s="74"/>
      <c r="D1036" s="1565"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6"/>
      <c r="AF1036" s="73"/>
      <c r="AG1036" s="14"/>
      <c r="AH1036" s="14"/>
      <c r="AI1036" s="83"/>
      <c r="AJ1036" s="1559"/>
      <c r="AK1036" s="1560"/>
      <c r="AL1036" s="1560"/>
      <c r="AM1036" s="1560"/>
      <c r="AN1036" s="1560"/>
      <c r="AO1036" s="1560"/>
      <c r="AP1036" s="1560"/>
      <c r="AQ1036" s="1561"/>
      <c r="AR1036" s="68"/>
      <c r="AS1036" s="68"/>
      <c r="AT1036" s="68"/>
      <c r="AU1036" s="68"/>
      <c r="AV1036" s="68"/>
      <c r="AW1036" s="68"/>
      <c r="AX1036" s="68"/>
      <c r="AY1036" s="68"/>
    </row>
    <row r="1037" spans="1:51" ht="13.15" customHeight="1">
      <c r="A1037" s="14"/>
      <c r="B1037" s="73"/>
      <c r="C1037" s="74"/>
      <c r="D1037" s="156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6"/>
      <c r="AF1037" s="73"/>
      <c r="AG1037" s="14"/>
      <c r="AH1037" s="14"/>
      <c r="AI1037" s="83"/>
      <c r="AJ1037" s="1559"/>
      <c r="AK1037" s="1560"/>
      <c r="AL1037" s="1560"/>
      <c r="AM1037" s="1560"/>
      <c r="AN1037" s="1560"/>
      <c r="AO1037" s="1560"/>
      <c r="AP1037" s="1560"/>
      <c r="AQ1037" s="1561"/>
      <c r="AR1037" s="68"/>
      <c r="AS1037" s="68"/>
      <c r="AT1037" s="68"/>
      <c r="AU1037" s="68"/>
      <c r="AV1037" s="68"/>
      <c r="AW1037" s="68"/>
      <c r="AX1037" s="68"/>
      <c r="AY1037" s="68"/>
    </row>
    <row r="1038" spans="1:51" ht="13.15" customHeight="1">
      <c r="A1038" s="14"/>
      <c r="B1038" s="73"/>
      <c r="C1038" s="74"/>
      <c r="D1038" s="156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6"/>
      <c r="AF1038" s="73"/>
      <c r="AG1038" s="14"/>
      <c r="AH1038" s="14"/>
      <c r="AI1038" s="83"/>
      <c r="AJ1038" s="1559"/>
      <c r="AK1038" s="1560"/>
      <c r="AL1038" s="1560"/>
      <c r="AM1038" s="1560"/>
      <c r="AN1038" s="1560"/>
      <c r="AO1038" s="1560"/>
      <c r="AP1038" s="1560"/>
      <c r="AQ1038" s="1561"/>
      <c r="AR1038" s="68"/>
      <c r="AS1038" s="68"/>
      <c r="AT1038" s="68"/>
      <c r="AU1038" s="68"/>
      <c r="AV1038" s="68"/>
      <c r="AW1038" s="68"/>
      <c r="AX1038" s="68"/>
      <c r="AY1038" s="68"/>
    </row>
    <row r="1039" spans="1:51" ht="13.15"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559"/>
      <c r="AK1039" s="1560"/>
      <c r="AL1039" s="1560"/>
      <c r="AM1039" s="1560"/>
      <c r="AN1039" s="1560"/>
      <c r="AO1039" s="1560"/>
      <c r="AP1039" s="1560"/>
      <c r="AQ1039" s="1561"/>
      <c r="AR1039" s="68"/>
      <c r="AS1039" s="68"/>
      <c r="AT1039" s="68"/>
      <c r="AU1039" s="68"/>
      <c r="AV1039" s="68"/>
      <c r="AW1039" s="68"/>
      <c r="AX1039" s="68"/>
      <c r="AY1039" s="68"/>
    </row>
    <row r="1040" spans="1:51" ht="13.15" customHeight="1">
      <c r="A1040" s="14"/>
      <c r="B1040" s="79"/>
      <c r="C1040" s="131" t="s">
        <v>1034</v>
      </c>
      <c r="D1040" s="1518" t="s">
        <v>1408</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677</v>
      </c>
      <c r="AH1040" s="1527"/>
      <c r="AI1040" s="87"/>
      <c r="AJ1040" s="1556">
        <f>ROUND(IF(AG1040="yes",(AJ991*0.1),0),0)</f>
        <v>0</v>
      </c>
      <c r="AK1040" s="1557"/>
      <c r="AL1040" s="1557"/>
      <c r="AM1040" s="1557"/>
      <c r="AN1040" s="1557"/>
      <c r="AO1040" s="1557"/>
      <c r="AP1040" s="1557"/>
      <c r="AQ1040" s="1558"/>
      <c r="AR1040" s="68"/>
      <c r="AS1040" s="68"/>
      <c r="AT1040" s="68"/>
      <c r="AU1040" s="68"/>
      <c r="AV1040" s="68"/>
      <c r="AW1040" s="68"/>
      <c r="AX1040" s="68"/>
      <c r="AY1040" s="68"/>
    </row>
    <row r="1041" spans="1:51" ht="13.15" customHeight="1">
      <c r="A1041" s="14"/>
      <c r="B1041" s="73"/>
      <c r="C1041" s="74"/>
      <c r="D1041" s="1506" t="s">
        <v>2504</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9"/>
      <c r="AK1041" s="1560"/>
      <c r="AL1041" s="1560"/>
      <c r="AM1041" s="1560"/>
      <c r="AN1041" s="1560"/>
      <c r="AO1041" s="1560"/>
      <c r="AP1041" s="1560"/>
      <c r="AQ1041" s="1561"/>
      <c r="AR1041" s="68"/>
      <c r="AS1041" s="68"/>
      <c r="AT1041" s="68"/>
      <c r="AU1041" s="68"/>
      <c r="AV1041" s="68"/>
      <c r="AW1041" s="68"/>
      <c r="AX1041" s="68"/>
      <c r="AY1041" s="68"/>
    </row>
    <row r="1042" spans="1:51" ht="13.15"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9"/>
      <c r="AK1042" s="1560"/>
      <c r="AL1042" s="1560"/>
      <c r="AM1042" s="1560"/>
      <c r="AN1042" s="1560"/>
      <c r="AO1042" s="1560"/>
      <c r="AP1042" s="1560"/>
      <c r="AQ1042" s="1561"/>
      <c r="AR1042" s="68"/>
      <c r="AS1042" s="68"/>
      <c r="AT1042" s="68"/>
      <c r="AU1042" s="68"/>
      <c r="AV1042" s="68"/>
      <c r="AW1042" s="68"/>
      <c r="AX1042" s="68"/>
      <c r="AY1042" s="68"/>
    </row>
    <row r="1043" spans="1:51" ht="13.1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2"/>
      <c r="AK1043" s="1563"/>
      <c r="AL1043" s="1563"/>
      <c r="AM1043" s="1563"/>
      <c r="AN1043" s="1563"/>
      <c r="AO1043" s="1563"/>
      <c r="AP1043" s="1563"/>
      <c r="AQ1043" s="1564"/>
      <c r="AR1043" s="68"/>
      <c r="AS1043" s="68"/>
      <c r="AT1043" s="68"/>
      <c r="AU1043" s="68"/>
      <c r="AV1043" s="68"/>
      <c r="AW1043" s="68"/>
      <c r="AX1043" s="68"/>
      <c r="AY1043" s="68"/>
    </row>
    <row r="1044" spans="1:51" ht="13.15" customHeight="1">
      <c r="A1044" s="14"/>
      <c r="B1044" s="79"/>
      <c r="C1044" s="131" t="s">
        <v>1874</v>
      </c>
      <c r="D1044" s="1528" t="s">
        <v>2056</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4" t="str">
        <f>IF(X1047&gt;0,"Yes","No")</f>
        <v>Yes</v>
      </c>
      <c r="AH1044" s="1605"/>
      <c r="AI1044" s="87"/>
      <c r="AJ1044" s="1556">
        <f>IF((X1047=0),0,AY1004*AJ991)</f>
        <v>15206842.560000001</v>
      </c>
      <c r="AK1044" s="1557"/>
      <c r="AL1044" s="1557"/>
      <c r="AM1044" s="1557"/>
      <c r="AN1044" s="1557"/>
      <c r="AO1044" s="1557"/>
      <c r="AP1044" s="1557"/>
      <c r="AQ1044" s="1558"/>
      <c r="AR1044" s="68"/>
      <c r="AS1044" s="68"/>
      <c r="AT1044" s="68"/>
      <c r="AU1044" s="68"/>
      <c r="AV1044" s="68"/>
      <c r="AW1044" s="68"/>
      <c r="AX1044" s="68"/>
      <c r="AY1044" s="68"/>
    </row>
    <row r="1045" spans="1:51" ht="13.15" customHeight="1">
      <c r="A1045" s="14"/>
      <c r="B1045" s="73"/>
      <c r="C1045" s="476"/>
      <c r="D1045" s="1506" t="s">
        <v>1410</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9"/>
      <c r="AK1045" s="1560"/>
      <c r="AL1045" s="1560"/>
      <c r="AM1045" s="1560"/>
      <c r="AN1045" s="1560"/>
      <c r="AO1045" s="1560"/>
      <c r="AP1045" s="1560"/>
      <c r="AQ1045" s="1561"/>
      <c r="AR1045" s="68"/>
      <c r="AS1045" s="68"/>
      <c r="AT1045" s="68"/>
      <c r="AU1045" s="13"/>
      <c r="AV1045" s="68"/>
      <c r="AW1045" s="68"/>
      <c r="AX1045" s="68"/>
      <c r="AY1045" s="68"/>
    </row>
    <row r="1046" spans="1:51" ht="13.15"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9"/>
      <c r="AK1046" s="1560"/>
      <c r="AL1046" s="1560"/>
      <c r="AM1046" s="1560"/>
      <c r="AN1046" s="1560"/>
      <c r="AO1046" s="1560"/>
      <c r="AP1046" s="1560"/>
      <c r="AQ1046" s="1561"/>
      <c r="AR1046" s="68"/>
      <c r="AS1046" s="68"/>
      <c r="AT1046" s="68"/>
      <c r="AU1046" s="13"/>
      <c r="AV1046" s="68"/>
      <c r="AW1046" s="68"/>
      <c r="AX1046" s="68"/>
      <c r="AY1046" s="68"/>
    </row>
    <row r="1047" spans="1:51" ht="13.15" customHeight="1">
      <c r="A1047" s="14"/>
      <c r="B1047" s="77"/>
      <c r="C1047" s="78"/>
      <c r="D1047" s="132" t="s">
        <v>991</v>
      </c>
      <c r="E1047" s="133"/>
      <c r="F1047" s="133"/>
      <c r="G1047" s="133"/>
      <c r="H1047" s="133"/>
      <c r="I1047" s="1602">
        <f>AY1002</f>
        <v>83</v>
      </c>
      <c r="J1047" s="1603"/>
      <c r="K1047" s="7"/>
      <c r="L1047" s="133"/>
      <c r="M1047" s="133"/>
      <c r="N1047" s="133"/>
      <c r="O1047" s="133"/>
      <c r="P1047" s="133"/>
      <c r="Q1047" s="133"/>
      <c r="R1047" s="133"/>
      <c r="S1047" s="133"/>
      <c r="T1047" s="133"/>
      <c r="U1047" s="133"/>
      <c r="V1047" s="134" t="s">
        <v>992</v>
      </c>
      <c r="W1047" s="48"/>
      <c r="X1047" s="1600">
        <f>BG632</f>
        <v>33</v>
      </c>
      <c r="Y1047" s="1601"/>
      <c r="Z1047" s="48"/>
      <c r="AA1047" s="48"/>
      <c r="AB1047" s="48"/>
      <c r="AC1047" s="48"/>
      <c r="AD1047" s="48"/>
      <c r="AE1047" s="49"/>
      <c r="AF1047" s="959"/>
      <c r="AG1047" s="960"/>
      <c r="AH1047" s="960"/>
      <c r="AI1047" s="961"/>
      <c r="AJ1047" s="1562"/>
      <c r="AK1047" s="1563"/>
      <c r="AL1047" s="1563"/>
      <c r="AM1047" s="1563"/>
      <c r="AN1047" s="1563"/>
      <c r="AO1047" s="1563"/>
      <c r="AP1047" s="1563"/>
      <c r="AQ1047" s="1564"/>
      <c r="AR1047" s="68"/>
      <c r="AS1047" s="68"/>
      <c r="AT1047" s="68"/>
      <c r="AU1047" s="14"/>
      <c r="AV1047" s="68"/>
      <c r="AW1047" s="68"/>
      <c r="AX1047" s="68"/>
      <c r="AY1047" s="68"/>
    </row>
    <row r="1048" spans="1:51" ht="13.15" customHeight="1">
      <c r="A1048" s="14"/>
      <c r="B1048" s="79"/>
      <c r="C1048" s="131" t="s">
        <v>1875</v>
      </c>
      <c r="D1048" s="1518" t="s">
        <v>2535</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4" t="str">
        <f>IF(X1051&gt;0,"Yes","No")</f>
        <v>Yes</v>
      </c>
      <c r="AH1048" s="1605"/>
      <c r="AI1048" s="83"/>
      <c r="AJ1048" s="1556">
        <f>IF((X1051=0),0,(2*AY1005)*AJ991)</f>
        <v>46790284.799999997</v>
      </c>
      <c r="AK1048" s="1557"/>
      <c r="AL1048" s="1557"/>
      <c r="AM1048" s="1557"/>
      <c r="AN1048" s="1557"/>
      <c r="AO1048" s="1557"/>
      <c r="AP1048" s="1557"/>
      <c r="AQ1048" s="1558"/>
      <c r="AR1048" s="68"/>
      <c r="AS1048" s="68"/>
      <c r="AT1048" s="68"/>
      <c r="AU1048" s="14"/>
      <c r="AV1048" s="68"/>
      <c r="AW1048" s="68"/>
      <c r="AX1048" s="68"/>
      <c r="AY1048" s="68"/>
    </row>
    <row r="1049" spans="1:51" ht="13.15" customHeight="1">
      <c r="A1049" s="14"/>
      <c r="B1049" s="73"/>
      <c r="C1049" s="476"/>
      <c r="D1049" s="1506" t="s">
        <v>1409</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9"/>
      <c r="AK1049" s="1560"/>
      <c r="AL1049" s="1560"/>
      <c r="AM1049" s="1560"/>
      <c r="AN1049" s="1560"/>
      <c r="AO1049" s="1560"/>
      <c r="AP1049" s="1560"/>
      <c r="AQ1049" s="1561"/>
      <c r="AR1049" s="68"/>
      <c r="AS1049" s="68"/>
      <c r="AT1049" s="68"/>
      <c r="AU1049" s="68"/>
      <c r="AV1049" s="68"/>
      <c r="AW1049" s="68"/>
      <c r="AX1049" s="68"/>
      <c r="AY1049" s="68"/>
    </row>
    <row r="1050" spans="1:51" ht="13.15"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9"/>
      <c r="AK1050" s="1560"/>
      <c r="AL1050" s="1560"/>
      <c r="AM1050" s="1560"/>
      <c r="AN1050" s="1560"/>
      <c r="AO1050" s="1560"/>
      <c r="AP1050" s="1560"/>
      <c r="AQ1050" s="1561"/>
      <c r="AR1050" s="68"/>
      <c r="AS1050" s="68"/>
      <c r="AT1050" s="68"/>
      <c r="AU1050" s="68"/>
      <c r="AV1050" s="68"/>
      <c r="AW1050" s="68"/>
      <c r="AX1050" s="68"/>
      <c r="AY1050" s="68"/>
    </row>
    <row r="1051" spans="1:51" ht="13.15" customHeight="1">
      <c r="A1051" s="14"/>
      <c r="B1051" s="77"/>
      <c r="C1051" s="78"/>
      <c r="D1051" s="132" t="s">
        <v>991</v>
      </c>
      <c r="E1051" s="133"/>
      <c r="F1051" s="133"/>
      <c r="G1051" s="133"/>
      <c r="H1051" s="133"/>
      <c r="I1051" s="1602">
        <f>AY1002</f>
        <v>83</v>
      </c>
      <c r="J1051" s="1603"/>
      <c r="K1051" s="14"/>
      <c r="L1051" s="133"/>
      <c r="M1051" s="133"/>
      <c r="N1051" s="133"/>
      <c r="O1051" s="133"/>
      <c r="P1051" s="133"/>
      <c r="Q1051" s="133"/>
      <c r="R1051" s="133"/>
      <c r="S1051" s="133"/>
      <c r="T1051" s="133"/>
      <c r="U1051" s="133"/>
      <c r="V1051" s="134" t="s">
        <v>993</v>
      </c>
      <c r="X1051" s="1600">
        <f>BK632</f>
        <v>50</v>
      </c>
      <c r="Y1051" s="1601"/>
      <c r="AF1051" s="959"/>
      <c r="AG1051" s="960"/>
      <c r="AH1051" s="960"/>
      <c r="AI1051" s="961"/>
      <c r="AJ1051" s="1562"/>
      <c r="AK1051" s="1563"/>
      <c r="AL1051" s="1563"/>
      <c r="AM1051" s="1563"/>
      <c r="AN1051" s="1563"/>
      <c r="AO1051" s="1563"/>
      <c r="AP1051" s="1563"/>
      <c r="AQ1051" s="1564"/>
      <c r="AR1051" s="68"/>
      <c r="AS1051" s="68"/>
      <c r="AT1051" s="68"/>
      <c r="AU1051" s="68"/>
      <c r="AV1051" s="68"/>
      <c r="AW1051" s="68"/>
      <c r="AX1051" s="68"/>
      <c r="AY1051" s="68"/>
    </row>
    <row r="1052" spans="1:51" ht="13.15" customHeight="1">
      <c r="A1052" s="14"/>
      <c r="B1052" s="102"/>
      <c r="C1052" s="103"/>
      <c r="D1052" s="1598" t="s">
        <v>521</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6">
        <f>SUM(AJ991:AQ1051)</f>
        <v>108787412.36</v>
      </c>
      <c r="AK1052" s="1717"/>
      <c r="AL1052" s="1717"/>
      <c r="AM1052" s="1717"/>
      <c r="AN1052" s="1717"/>
      <c r="AO1052" s="1717"/>
      <c r="AP1052" s="1717"/>
      <c r="AQ1052" s="1718"/>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3.1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403" t="s">
        <v>599</v>
      </c>
      <c r="B1064" s="1403"/>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1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1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1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1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1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15" customHeight="1">
      <c r="A1070" s="1403" t="s">
        <v>599</v>
      </c>
      <c r="B1070" s="1403"/>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1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1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1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1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1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15" customHeight="1">
      <c r="A1076" s="1403" t="s">
        <v>599</v>
      </c>
      <c r="B1076" s="1403"/>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1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1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1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1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1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1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15" customHeight="1">
      <c r="A1083" s="1403" t="s">
        <v>599</v>
      </c>
      <c r="B1083" s="1403"/>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1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1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15" customHeight="1">
      <c r="A1086" s="1403" t="s">
        <v>599</v>
      </c>
      <c r="B1086" s="1403"/>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1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1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1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1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15" customHeight="1">
      <c r="A1091" s="1403" t="s">
        <v>599</v>
      </c>
      <c r="B1091" s="1403"/>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1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1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15" customHeight="1">
      <c r="A1094" s="1403" t="s">
        <v>599</v>
      </c>
      <c r="B1094" s="1403"/>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1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1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1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15" customHeight="1">
      <c r="A1098" s="1403" t="s">
        <v>599</v>
      </c>
      <c r="B1098" s="1403"/>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1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1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X625:CB625"/>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G598:BH598"/>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H501:AK501"/>
    <mergeCell ref="D450:AF450"/>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AH542:AK542"/>
    <mergeCell ref="AC542:AF542"/>
    <mergeCell ref="AI557:AL557"/>
    <mergeCell ref="Q562:S562"/>
    <mergeCell ref="AC533:AF533"/>
    <mergeCell ref="Z555:AD555"/>
    <mergeCell ref="AE556:AH556"/>
    <mergeCell ref="Q558:S558"/>
    <mergeCell ref="AM555:AS555"/>
    <mergeCell ref="AG607:AH607"/>
    <mergeCell ref="AI558:AL558"/>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C829:H82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W859:AC859"/>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M564:AS564"/>
    <mergeCell ref="AG449:AJ449"/>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BK630:BL630"/>
    <mergeCell ref="BS630:BW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DR630:DV630"/>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0" workbookViewId="0">
      <selection activeCell="E101" sqref="E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557</v>
      </c>
      <c r="B1" s="125"/>
      <c r="C1" s="125"/>
      <c r="D1" s="125"/>
      <c r="E1" s="126"/>
      <c r="F1" s="1873" t="s">
        <v>629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1)CCRC Bank</v>
      </c>
      <c r="G2" s="139" t="str">
        <f>Application!B628&amp;Application!C628</f>
        <v>2)HCD - NPLH</v>
      </c>
      <c r="H2" s="139" t="str">
        <f>Application!B629&amp;Application!C629</f>
        <v>3)HACR Seller Carryback Loan</v>
      </c>
      <c r="I2" s="139" t="str">
        <f>Application!B630&amp;Application!C630</f>
        <v>4)HACR PLHA Loan</v>
      </c>
      <c r="J2" s="139" t="str">
        <f>Application!B631&amp;Application!C631</f>
        <v>5)HACR Taxable Housing Bond</v>
      </c>
      <c r="K2" s="139" t="str">
        <f>Application!B632&amp;Application!C632</f>
        <v>6)City of Coachella RDA Funds</v>
      </c>
      <c r="L2" s="139" t="str">
        <f>Application!B633&amp;Application!C633</f>
        <v>7)Deferred Developer Fee</v>
      </c>
      <c r="M2" s="139" t="str">
        <f>Application!B634&amp;Application!C634</f>
        <v>8)GP Capital</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1022368</v>
      </c>
      <c r="C4" s="147">
        <v>1022368</v>
      </c>
      <c r="D4" s="147"/>
      <c r="E4" s="147"/>
      <c r="F4" s="147"/>
      <c r="G4" s="147"/>
      <c r="H4" s="147">
        <f>C4</f>
        <v>1022368</v>
      </c>
      <c r="I4" s="147"/>
      <c r="J4" s="147"/>
      <c r="K4" s="147"/>
      <c r="L4" s="147"/>
      <c r="M4" s="147"/>
      <c r="N4" s="147"/>
      <c r="O4" s="147"/>
      <c r="P4" s="147"/>
      <c r="Q4" s="147"/>
      <c r="R4" s="550">
        <f>SUM(E4:Q4)</f>
        <v>1022368</v>
      </c>
      <c r="S4" s="148"/>
      <c r="T4" s="148"/>
      <c r="U4" s="143"/>
    </row>
    <row r="5" spans="1:21" s="144" customFormat="1">
      <c r="A5" s="145" t="s">
        <v>28</v>
      </c>
      <c r="B5" s="146">
        <f>SUM(C5+D5)</f>
        <v>32788</v>
      </c>
      <c r="C5" s="147">
        <v>32788</v>
      </c>
      <c r="D5" s="147"/>
      <c r="E5" s="147">
        <f>C5</f>
        <v>32788</v>
      </c>
      <c r="F5" s="147"/>
      <c r="G5" s="147"/>
      <c r="H5" s="147"/>
      <c r="I5" s="147"/>
      <c r="J5" s="147"/>
      <c r="K5" s="147"/>
      <c r="L5" s="147"/>
      <c r="M5" s="147"/>
      <c r="N5" s="147"/>
      <c r="O5" s="147"/>
      <c r="P5" s="147"/>
      <c r="Q5" s="147"/>
      <c r="R5" s="550">
        <f>SUM(E5:Q5)</f>
        <v>32788</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1055156</v>
      </c>
      <c r="C8" s="146">
        <f t="shared" ref="C8:Q8" si="0">SUM(C4:C7)</f>
        <v>1055156</v>
      </c>
      <c r="D8" s="146">
        <f t="shared" si="0"/>
        <v>0</v>
      </c>
      <c r="E8" s="146">
        <f t="shared" si="0"/>
        <v>32788</v>
      </c>
      <c r="F8" s="146">
        <f t="shared" si="0"/>
        <v>0</v>
      </c>
      <c r="G8" s="146">
        <f t="shared" si="0"/>
        <v>0</v>
      </c>
      <c r="H8" s="146">
        <f t="shared" si="0"/>
        <v>1022368</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1055156</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36750</v>
      </c>
      <c r="C10" s="147">
        <v>36750</v>
      </c>
      <c r="D10" s="147"/>
      <c r="E10" s="147">
        <f>C10</f>
        <v>36750</v>
      </c>
      <c r="F10" s="147"/>
      <c r="G10" s="147"/>
      <c r="H10" s="147"/>
      <c r="I10" s="147"/>
      <c r="J10" s="147"/>
      <c r="K10" s="147"/>
      <c r="L10" s="147"/>
      <c r="M10" s="147"/>
      <c r="N10" s="147"/>
      <c r="O10" s="147"/>
      <c r="P10" s="147"/>
      <c r="Q10" s="147"/>
      <c r="R10" s="550">
        <f>SUM(E10:Q10)</f>
        <v>36750</v>
      </c>
      <c r="S10" s="147">
        <f>R10</f>
        <v>36750</v>
      </c>
      <c r="T10" s="147"/>
      <c r="U10" s="143"/>
    </row>
    <row r="11" spans="1:21" s="144" customFormat="1">
      <c r="A11" s="149" t="s">
        <v>604</v>
      </c>
      <c r="B11" s="146">
        <f>SUM(C11:D11)</f>
        <v>36750</v>
      </c>
      <c r="C11" s="146">
        <f t="shared" ref="C11:Q11" si="1">SUM(C9:C10)</f>
        <v>36750</v>
      </c>
      <c r="D11" s="146">
        <f t="shared" si="1"/>
        <v>0</v>
      </c>
      <c r="E11" s="146">
        <f t="shared" si="1"/>
        <v>36750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36750</v>
      </c>
      <c r="S11" s="148"/>
      <c r="T11" s="150">
        <f>SUM(T9:T10)</f>
        <v>0</v>
      </c>
      <c r="U11" s="143"/>
    </row>
    <row r="12" spans="1:21" s="144" customFormat="1">
      <c r="A12" s="149" t="s">
        <v>84</v>
      </c>
      <c r="B12" s="146">
        <f t="shared" ref="B12:Q12" si="2">SUM(B8+B11)</f>
        <v>1091906</v>
      </c>
      <c r="C12" s="146">
        <f t="shared" si="2"/>
        <v>1091906</v>
      </c>
      <c r="D12" s="146">
        <f t="shared" si="2"/>
        <v>0</v>
      </c>
      <c r="E12" s="146">
        <f t="shared" si="2"/>
        <v>69538</v>
      </c>
      <c r="F12" s="146">
        <f t="shared" si="2"/>
        <v>0</v>
      </c>
      <c r="G12" s="146">
        <f t="shared" si="2"/>
        <v>0</v>
      </c>
      <c r="H12" s="146">
        <f t="shared" si="2"/>
        <v>1022368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1091906</v>
      </c>
      <c r="S12" s="148"/>
      <c r="T12" s="148"/>
      <c r="U12" s="143"/>
    </row>
    <row r="13" spans="1:21" s="144" customFormat="1">
      <c r="A13" s="309" t="s">
        <v>917</v>
      </c>
      <c r="B13" s="146">
        <f>SUM(C13+D13)</f>
        <v>256973</v>
      </c>
      <c r="C13" s="147">
        <f>248684+8289</f>
        <v>256973</v>
      </c>
      <c r="D13" s="147"/>
      <c r="E13" s="147">
        <f>C13</f>
        <v>256973</v>
      </c>
      <c r="F13" s="147"/>
      <c r="G13" s="147"/>
      <c r="H13" s="147"/>
      <c r="I13" s="147"/>
      <c r="J13" s="147"/>
      <c r="K13" s="147"/>
      <c r="L13" s="147"/>
      <c r="M13" s="147"/>
      <c r="N13" s="147"/>
      <c r="O13" s="147"/>
      <c r="P13" s="147"/>
      <c r="Q13" s="147"/>
      <c r="R13" s="550">
        <f>SUM(E13:Q13)</f>
        <v>256973</v>
      </c>
      <c r="S13" s="147">
        <v>248684</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3203234</v>
      </c>
      <c r="C29" s="147">
        <v>3203234</v>
      </c>
      <c r="D29" s="147"/>
      <c r="E29" s="147">
        <f>C29</f>
        <v>3203234</v>
      </c>
      <c r="F29" s="147"/>
      <c r="G29" s="147"/>
      <c r="H29" s="147"/>
      <c r="I29" s="147"/>
      <c r="J29" s="147"/>
      <c r="K29" s="147"/>
      <c r="L29" s="147"/>
      <c r="M29" s="147"/>
      <c r="N29" s="147"/>
      <c r="O29" s="147"/>
      <c r="P29" s="147"/>
      <c r="Q29" s="147"/>
      <c r="R29" s="550">
        <f t="shared" ref="R29:R37" si="7">SUM(E29:Q29)</f>
        <v>3203234</v>
      </c>
      <c r="S29" s="147">
        <f t="shared" ref="S29:S37" si="8">R29</f>
        <v>3203234</v>
      </c>
      <c r="T29" s="147"/>
      <c r="U29" s="143"/>
    </row>
    <row r="30" spans="1:21" s="144" customFormat="1">
      <c r="A30" s="145" t="s">
        <v>607</v>
      </c>
      <c r="B30" s="146">
        <f t="shared" si="6"/>
        <v>28651960</v>
      </c>
      <c r="C30" s="147">
        <v>28651960</v>
      </c>
      <c r="D30" s="147"/>
      <c r="E30" s="147">
        <f>C30-(SUM(F30:O30))</f>
        <v>7365539</v>
      </c>
      <c r="F30" s="147">
        <v>6337000</v>
      </c>
      <c r="G30" s="147">
        <v>11279429</v>
      </c>
      <c r="H30" s="147"/>
      <c r="I30" s="147">
        <v>3000000</v>
      </c>
      <c r="J30" s="147">
        <v>450000</v>
      </c>
      <c r="K30" s="147">
        <v>219892</v>
      </c>
      <c r="L30" s="147"/>
      <c r="M30" s="147">
        <v>100</v>
      </c>
      <c r="N30" s="147"/>
      <c r="O30" s="147"/>
      <c r="P30" s="147"/>
      <c r="Q30" s="147"/>
      <c r="R30" s="550">
        <f t="shared" si="7"/>
        <v>28651960</v>
      </c>
      <c r="S30" s="147">
        <f t="shared" si="8"/>
        <v>28651960</v>
      </c>
      <c r="T30" s="147"/>
      <c r="U30" s="143"/>
    </row>
    <row r="31" spans="1:21" s="144" customFormat="1">
      <c r="A31" s="145" t="s">
        <v>608</v>
      </c>
      <c r="B31" s="146">
        <f t="shared" si="6"/>
        <v>995804</v>
      </c>
      <c r="C31" s="147">
        <v>995804</v>
      </c>
      <c r="D31" s="147"/>
      <c r="E31" s="147">
        <f>C31</f>
        <v>995804</v>
      </c>
      <c r="F31" s="147"/>
      <c r="G31" s="147"/>
      <c r="H31" s="147"/>
      <c r="I31" s="147"/>
      <c r="J31" s="147"/>
      <c r="K31" s="147"/>
      <c r="L31" s="147"/>
      <c r="M31" s="147"/>
      <c r="N31" s="147"/>
      <c r="O31" s="147"/>
      <c r="P31" s="147"/>
      <c r="Q31" s="147"/>
      <c r="R31" s="550">
        <f t="shared" si="7"/>
        <v>995804</v>
      </c>
      <c r="S31" s="147">
        <f t="shared" si="8"/>
        <v>995804</v>
      </c>
      <c r="T31" s="147"/>
      <c r="U31" s="143"/>
    </row>
    <row r="32" spans="1:21" s="144" customFormat="1">
      <c r="A32" s="145" t="s">
        <v>137</v>
      </c>
      <c r="B32" s="146">
        <f t="shared" si="6"/>
        <v>1109098</v>
      </c>
      <c r="C32" s="147">
        <f>2218196/2</f>
        <v>1109098</v>
      </c>
      <c r="D32" s="147"/>
      <c r="E32" s="147">
        <f>C32</f>
        <v>1109098</v>
      </c>
      <c r="F32" s="147"/>
      <c r="G32" s="147"/>
      <c r="H32" s="147"/>
      <c r="I32" s="147"/>
      <c r="J32" s="147"/>
      <c r="K32" s="147"/>
      <c r="L32" s="147"/>
      <c r="M32" s="147"/>
      <c r="N32" s="147"/>
      <c r="O32" s="147"/>
      <c r="P32" s="147"/>
      <c r="Q32" s="147"/>
      <c r="R32" s="550">
        <f t="shared" si="7"/>
        <v>1109098</v>
      </c>
      <c r="S32" s="147">
        <f t="shared" si="8"/>
        <v>1109098</v>
      </c>
      <c r="T32" s="147"/>
      <c r="U32" s="143"/>
    </row>
    <row r="33" spans="1:21" s="144" customFormat="1">
      <c r="A33" s="145" t="s">
        <v>138</v>
      </c>
      <c r="B33" s="146">
        <f t="shared" si="6"/>
        <v>1109098</v>
      </c>
      <c r="C33" s="147">
        <f>C32</f>
        <v>1109098</v>
      </c>
      <c r="D33" s="147"/>
      <c r="E33" s="147">
        <f>C33</f>
        <v>1109098</v>
      </c>
      <c r="F33" s="147"/>
      <c r="G33" s="147"/>
      <c r="H33" s="147"/>
      <c r="I33" s="147"/>
      <c r="J33" s="147"/>
      <c r="K33" s="147"/>
      <c r="L33" s="147"/>
      <c r="M33" s="147"/>
      <c r="N33" s="147"/>
      <c r="O33" s="147"/>
      <c r="P33" s="147"/>
      <c r="Q33" s="147"/>
      <c r="R33" s="550">
        <f t="shared" si="7"/>
        <v>1109098</v>
      </c>
      <c r="S33" s="147">
        <f t="shared" si="8"/>
        <v>1109098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480609</v>
      </c>
      <c r="C35" s="147">
        <v>480609</v>
      </c>
      <c r="D35" s="147"/>
      <c r="E35" s="147">
        <f>C35</f>
        <v>480609</v>
      </c>
      <c r="F35" s="147"/>
      <c r="G35" s="147"/>
      <c r="H35" s="147"/>
      <c r="I35" s="147"/>
      <c r="J35" s="147"/>
      <c r="K35" s="147"/>
      <c r="L35" s="147"/>
      <c r="M35" s="147"/>
      <c r="N35" s="147"/>
      <c r="O35" s="147"/>
      <c r="P35" s="147"/>
      <c r="Q35" s="147"/>
      <c r="R35" s="550">
        <f t="shared" si="7"/>
        <v>480609</v>
      </c>
      <c r="S35" s="147">
        <f t="shared" si="8"/>
        <v>480609</v>
      </c>
      <c r="T35" s="147"/>
      <c r="U35" s="143"/>
    </row>
    <row r="36" spans="1:21" s="144" customFormat="1">
      <c r="A36" s="304" t="s">
        <v>1753</v>
      </c>
      <c r="B36" s="146">
        <f t="shared" si="6"/>
        <v>349525</v>
      </c>
      <c r="C36" s="147">
        <v>349525</v>
      </c>
      <c r="D36" s="147"/>
      <c r="E36" s="147">
        <f>C36</f>
        <v>349525</v>
      </c>
      <c r="F36" s="147"/>
      <c r="G36" s="147"/>
      <c r="H36" s="147"/>
      <c r="I36" s="147"/>
      <c r="J36" s="147"/>
      <c r="K36" s="147"/>
      <c r="L36" s="147"/>
      <c r="M36" s="147"/>
      <c r="N36" s="147"/>
      <c r="O36" s="147"/>
      <c r="P36" s="147"/>
      <c r="Q36" s="147"/>
      <c r="R36" s="550">
        <f t="shared" si="7"/>
        <v>349525</v>
      </c>
      <c r="S36" s="147">
        <f t="shared" si="8"/>
        <v>349525</v>
      </c>
      <c r="T36" s="147"/>
      <c r="U36" s="143"/>
    </row>
    <row r="37" spans="1:21" s="144" customFormat="1">
      <c r="A37" s="1193" t="s">
        <v>2758</v>
      </c>
      <c r="B37" s="146">
        <f t="shared" si="6"/>
        <v>1796494</v>
      </c>
      <c r="C37" s="147">
        <v>1796494</v>
      </c>
      <c r="D37" s="147"/>
      <c r="E37" s="147">
        <f>C37</f>
        <v>1796494</v>
      </c>
      <c r="F37" s="147"/>
      <c r="G37" s="147"/>
      <c r="H37" s="147"/>
      <c r="I37" s="147"/>
      <c r="J37" s="147"/>
      <c r="K37" s="147"/>
      <c r="L37" s="147"/>
      <c r="M37" s="147"/>
      <c r="N37" s="147"/>
      <c r="O37" s="147"/>
      <c r="P37" s="147"/>
      <c r="Q37" s="147"/>
      <c r="R37" s="550">
        <f t="shared" si="7"/>
        <v>1796494</v>
      </c>
      <c r="S37" s="147">
        <f t="shared" si="8"/>
        <v>1796494</v>
      </c>
      <c r="T37" s="147"/>
      <c r="U37" s="143"/>
    </row>
    <row r="38" spans="1:21" s="144" customFormat="1">
      <c r="A38" s="149" t="s">
        <v>143</v>
      </c>
      <c r="B38" s="146">
        <f t="shared" si="6"/>
        <v>37695822</v>
      </c>
      <c r="C38" s="146">
        <f>SUM(C29:C37)</f>
        <v>37695822</v>
      </c>
      <c r="D38" s="146">
        <f t="shared" ref="D38:Q38" si="9">SUM(D29:D37)</f>
        <v>0</v>
      </c>
      <c r="E38" s="146">
        <f t="shared" si="9"/>
        <v>16409401</v>
      </c>
      <c r="F38" s="146">
        <f t="shared" si="9"/>
        <v>6337000</v>
      </c>
      <c r="G38" s="146">
        <f t="shared" si="9"/>
        <v>11279429</v>
      </c>
      <c r="H38" s="146">
        <f t="shared" si="9"/>
        <v>0</v>
      </c>
      <c r="I38" s="146">
        <f t="shared" si="9"/>
        <v>3000000</v>
      </c>
      <c r="J38" s="146">
        <f t="shared" si="9"/>
        <v>450000</v>
      </c>
      <c r="K38" s="146">
        <f t="shared" si="9"/>
        <v>219892</v>
      </c>
      <c r="L38" s="146">
        <f t="shared" si="9"/>
        <v>0</v>
      </c>
      <c r="M38" s="146">
        <f t="shared" si="9"/>
        <v>100</v>
      </c>
      <c r="N38" s="146">
        <f t="shared" si="9"/>
        <v>0</v>
      </c>
      <c r="O38" s="146">
        <f t="shared" si="9"/>
        <v>0</v>
      </c>
      <c r="P38" s="146">
        <f t="shared" si="9"/>
        <v>0</v>
      </c>
      <c r="Q38" s="146">
        <f t="shared" si="9"/>
        <v>0</v>
      </c>
      <c r="R38" s="370">
        <f>SUM(R29:R37)</f>
        <v>37695822</v>
      </c>
      <c r="S38" s="150">
        <f>SUM(S29:S37)</f>
        <v>37695822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1362421</v>
      </c>
      <c r="C40" s="147">
        <f>1612421-C41</f>
        <v>1362421</v>
      </c>
      <c r="D40" s="147"/>
      <c r="E40" s="147">
        <f>C40</f>
        <v>1362421</v>
      </c>
      <c r="F40" s="147"/>
      <c r="G40" s="147"/>
      <c r="H40" s="147"/>
      <c r="I40" s="147"/>
      <c r="J40" s="147"/>
      <c r="K40" s="147"/>
      <c r="L40" s="147"/>
      <c r="M40" s="147"/>
      <c r="N40" s="147"/>
      <c r="O40" s="147"/>
      <c r="P40" s="147"/>
      <c r="Q40" s="147"/>
      <c r="R40" s="550">
        <f>SUM(E40:Q40)</f>
        <v>1362421</v>
      </c>
      <c r="S40" s="147">
        <f>R40</f>
        <v>1362421</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1612421</v>
      </c>
      <c r="C42" s="146">
        <f>SUM(C39:C41)</f>
        <v>1612421</v>
      </c>
      <c r="D42" s="146">
        <f>SUM(D39:D41)</f>
        <v>0</v>
      </c>
      <c r="E42" s="146">
        <f t="shared" ref="E42:T42" si="10">SUM(E40:E41)</f>
        <v>1612421</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1612421</v>
      </c>
      <c r="S42" s="150">
        <f t="shared" si="10"/>
        <v>1612421</v>
      </c>
      <c r="T42" s="150">
        <f t="shared" si="10"/>
        <v>0</v>
      </c>
      <c r="U42" s="143"/>
    </row>
    <row r="43" spans="1:21" s="144" customFormat="1">
      <c r="A43" s="149" t="s">
        <v>148</v>
      </c>
      <c r="B43" s="146">
        <f>SUM(C43:D43)</f>
        <v>81003</v>
      </c>
      <c r="C43" s="147">
        <f>27632+3371+50000</f>
        <v>81003</v>
      </c>
      <c r="D43" s="147"/>
      <c r="E43" s="147">
        <f>C43</f>
        <v>81003</v>
      </c>
      <c r="F43" s="147"/>
      <c r="G43" s="147"/>
      <c r="H43" s="147"/>
      <c r="I43" s="147"/>
      <c r="J43" s="147"/>
      <c r="K43" s="147"/>
      <c r="L43" s="147"/>
      <c r="M43" s="147"/>
      <c r="N43" s="147"/>
      <c r="O43" s="147"/>
      <c r="P43" s="147"/>
      <c r="Q43" s="147"/>
      <c r="R43" s="550">
        <f>SUM(E43:Q43)</f>
        <v>81003</v>
      </c>
      <c r="S43" s="147">
        <f>R43</f>
        <v>81003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5018735</v>
      </c>
      <c r="C45" s="147">
        <f>4206060+812675</f>
        <v>5018735</v>
      </c>
      <c r="D45" s="147"/>
      <c r="E45" s="147">
        <f>C45</f>
        <v>5018735</v>
      </c>
      <c r="F45" s="147"/>
      <c r="G45" s="147"/>
      <c r="H45" s="147"/>
      <c r="I45" s="147"/>
      <c r="J45" s="147"/>
      <c r="K45" s="147"/>
      <c r="L45" s="147"/>
      <c r="M45" s="147"/>
      <c r="N45" s="147"/>
      <c r="O45" s="147"/>
      <c r="P45" s="147"/>
      <c r="Q45" s="147"/>
      <c r="R45" s="550">
        <f t="shared" ref="R45:R53" si="12">SUM(E45:Q45)</f>
        <v>5018735</v>
      </c>
      <c r="S45" s="147">
        <f>2412006</f>
        <v>2412006</v>
      </c>
      <c r="T45" s="147"/>
      <c r="U45" s="143"/>
    </row>
    <row r="46" spans="1:21" s="144" customFormat="1">
      <c r="A46" s="145" t="s">
        <v>151</v>
      </c>
      <c r="B46" s="146">
        <f t="shared" si="11"/>
        <v>342504</v>
      </c>
      <c r="C46" s="147">
        <v>342504</v>
      </c>
      <c r="D46" s="147"/>
      <c r="E46" s="147">
        <f t="shared" ref="E46:E53" si="13">C46</f>
        <v>342504</v>
      </c>
      <c r="F46" s="147"/>
      <c r="G46" s="147"/>
      <c r="H46" s="147"/>
      <c r="I46" s="147"/>
      <c r="J46" s="147"/>
      <c r="K46" s="147"/>
      <c r="L46" s="147"/>
      <c r="M46" s="147"/>
      <c r="N46" s="147"/>
      <c r="O46" s="147"/>
      <c r="P46" s="147"/>
      <c r="Q46" s="147"/>
      <c r="R46" s="550">
        <f t="shared" si="12"/>
        <v>342504</v>
      </c>
      <c r="S46" s="147">
        <v>164955</v>
      </c>
      <c r="T46" s="147"/>
      <c r="U46" s="143"/>
    </row>
    <row r="47" spans="1:21" s="144" customFormat="1">
      <c r="A47" s="198" t="s">
        <v>152</v>
      </c>
      <c r="B47" s="146">
        <f t="shared" si="11"/>
        <v>45000</v>
      </c>
      <c r="C47" s="147">
        <v>45000</v>
      </c>
      <c r="D47" s="147"/>
      <c r="E47" s="147">
        <f t="shared" si="13"/>
        <v>45000</v>
      </c>
      <c r="F47" s="147"/>
      <c r="G47" s="147"/>
      <c r="H47" s="147"/>
      <c r="I47" s="147"/>
      <c r="J47" s="147"/>
      <c r="K47" s="147"/>
      <c r="L47" s="147"/>
      <c r="M47" s="147"/>
      <c r="N47" s="147"/>
      <c r="O47" s="147"/>
      <c r="P47" s="147"/>
      <c r="Q47" s="147"/>
      <c r="R47" s="550">
        <f t="shared" si="12"/>
        <v>45000</v>
      </c>
      <c r="S47" s="147">
        <v>21673</v>
      </c>
      <c r="T47" s="147"/>
      <c r="U47" s="143"/>
    </row>
    <row r="48" spans="1:21" s="144" customFormat="1">
      <c r="A48" s="145" t="s">
        <v>153</v>
      </c>
      <c r="B48" s="146">
        <f t="shared" si="11"/>
        <v>310547</v>
      </c>
      <c r="C48" s="147">
        <v>310547</v>
      </c>
      <c r="D48" s="147"/>
      <c r="E48" s="147">
        <f t="shared" si="13"/>
        <v>310547</v>
      </c>
      <c r="F48" s="147"/>
      <c r="G48" s="147"/>
      <c r="H48" s="147"/>
      <c r="I48" s="147"/>
      <c r="J48" s="147"/>
      <c r="K48" s="147"/>
      <c r="L48" s="147"/>
      <c r="M48" s="147"/>
      <c r="N48" s="147"/>
      <c r="O48" s="147"/>
      <c r="P48" s="147"/>
      <c r="Q48" s="147"/>
      <c r="R48" s="550">
        <f t="shared" si="12"/>
        <v>310547</v>
      </c>
      <c r="S48" s="147">
        <f>R48</f>
        <v>310547</v>
      </c>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 t="shared" si="11"/>
        <v>85658</v>
      </c>
      <c r="C50" s="147">
        <v>85658</v>
      </c>
      <c r="D50" s="147"/>
      <c r="E50" s="147">
        <f t="shared" si="13"/>
        <v>85658</v>
      </c>
      <c r="F50" s="147"/>
      <c r="G50" s="147"/>
      <c r="H50" s="147"/>
      <c r="I50" s="147"/>
      <c r="J50" s="147"/>
      <c r="K50" s="147"/>
      <c r="L50" s="147"/>
      <c r="M50" s="147"/>
      <c r="N50" s="147"/>
      <c r="O50" s="147"/>
      <c r="P50" s="147"/>
      <c r="Q50" s="147"/>
      <c r="R50" s="550">
        <f t="shared" si="12"/>
        <v>85658</v>
      </c>
      <c r="S50" s="147">
        <f>R50</f>
        <v>85658</v>
      </c>
      <c r="T50" s="147"/>
      <c r="U50" s="143"/>
    </row>
    <row r="51" spans="1:21" s="144" customFormat="1">
      <c r="A51" s="304" t="s">
        <v>154</v>
      </c>
      <c r="B51" s="146">
        <f t="shared" si="11"/>
        <v>22364</v>
      </c>
      <c r="C51" s="147">
        <v>22364</v>
      </c>
      <c r="D51" s="147"/>
      <c r="E51" s="147">
        <f t="shared" si="13"/>
        <v>22364</v>
      </c>
      <c r="F51" s="147"/>
      <c r="G51" s="147"/>
      <c r="H51" s="147"/>
      <c r="I51" s="147"/>
      <c r="J51" s="147"/>
      <c r="K51" s="147"/>
      <c r="L51" s="147"/>
      <c r="M51" s="147"/>
      <c r="N51" s="147"/>
      <c r="O51" s="147"/>
      <c r="P51" s="147"/>
      <c r="Q51" s="147"/>
      <c r="R51" s="550">
        <f t="shared" si="12"/>
        <v>22364</v>
      </c>
      <c r="S51" s="147">
        <f>R51</f>
        <v>22364</v>
      </c>
      <c r="T51" s="147"/>
      <c r="U51" s="143"/>
    </row>
    <row r="52" spans="1:21" s="144" customFormat="1">
      <c r="A52" s="145" t="s">
        <v>155</v>
      </c>
      <c r="B52" s="146">
        <f t="shared" si="11"/>
        <v>714921</v>
      </c>
      <c r="C52" s="147">
        <v>714921</v>
      </c>
      <c r="D52" s="147"/>
      <c r="E52" s="147">
        <f t="shared" si="13"/>
        <v>714921</v>
      </c>
      <c r="F52" s="147"/>
      <c r="G52" s="147"/>
      <c r="H52" s="147"/>
      <c r="I52" s="147"/>
      <c r="J52" s="147"/>
      <c r="K52" s="147"/>
      <c r="L52" s="147"/>
      <c r="M52" s="147"/>
      <c r="N52" s="147"/>
      <c r="O52" s="147"/>
      <c r="P52" s="147"/>
      <c r="Q52" s="147"/>
      <c r="R52" s="550">
        <f t="shared" si="12"/>
        <v>714921</v>
      </c>
      <c r="S52" s="147">
        <f>R52</f>
        <v>714921</v>
      </c>
      <c r="T52" s="147"/>
      <c r="U52" s="143"/>
    </row>
    <row r="53" spans="1:21" s="144" customFormat="1">
      <c r="A53" s="1193" t="s">
        <v>2763</v>
      </c>
      <c r="B53" s="146">
        <f t="shared" si="11"/>
        <v>133746</v>
      </c>
      <c r="C53" s="147">
        <f>2500+60334+45667+8000+12245+5000</f>
        <v>133746</v>
      </c>
      <c r="D53" s="147"/>
      <c r="E53" s="147">
        <f t="shared" si="13"/>
        <v>133746</v>
      </c>
      <c r="F53" s="147"/>
      <c r="G53" s="147"/>
      <c r="H53" s="147"/>
      <c r="I53" s="147"/>
      <c r="J53" s="147"/>
      <c r="K53" s="147"/>
      <c r="L53" s="147"/>
      <c r="M53" s="147"/>
      <c r="N53" s="147"/>
      <c r="O53" s="147"/>
      <c r="P53" s="147"/>
      <c r="Q53" s="147"/>
      <c r="R53" s="550">
        <f t="shared" si="12"/>
        <v>133746</v>
      </c>
      <c r="S53" s="147"/>
      <c r="T53" s="147"/>
      <c r="U53" s="143"/>
    </row>
    <row r="54" spans="1:21" s="153" customFormat="1">
      <c r="A54" s="149" t="s">
        <v>157</v>
      </c>
      <c r="B54" s="150">
        <f>SUM(C54:D54)</f>
        <v>6673475</v>
      </c>
      <c r="C54" s="150">
        <f t="shared" ref="C54:T54" si="14">SUM(C45:C53)</f>
        <v>6673475</v>
      </c>
      <c r="D54" s="150">
        <f t="shared" si="14"/>
        <v>0</v>
      </c>
      <c r="E54" s="150">
        <f t="shared" si="14"/>
        <v>6673475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6673475</v>
      </c>
      <c r="S54" s="150">
        <f t="shared" si="14"/>
        <v>3732124</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63370</v>
      </c>
      <c r="C56" s="147">
        <v>63370</v>
      </c>
      <c r="D56" s="147"/>
      <c r="E56" s="147">
        <f>C56</f>
        <v>63370</v>
      </c>
      <c r="F56" s="147"/>
      <c r="G56" s="147"/>
      <c r="H56" s="147"/>
      <c r="I56" s="147"/>
      <c r="J56" s="147"/>
      <c r="K56" s="147"/>
      <c r="L56" s="147"/>
      <c r="M56" s="147"/>
      <c r="N56" s="147"/>
      <c r="O56" s="147"/>
      <c r="P56" s="147"/>
      <c r="Q56" s="147"/>
      <c r="R56" s="550">
        <f t="shared" ref="R56:R61" si="16">SUM(E56:Q56)</f>
        <v>63370</v>
      </c>
      <c r="S56" s="148"/>
      <c r="T56" s="148"/>
      <c r="U56" s="143"/>
    </row>
    <row r="57" spans="1:21" s="204" customFormat="1">
      <c r="A57" s="198" t="s">
        <v>152</v>
      </c>
      <c r="B57" s="205">
        <f t="shared" si="15"/>
        <v>10000</v>
      </c>
      <c r="C57" s="202">
        <v>10000</v>
      </c>
      <c r="D57" s="202"/>
      <c r="E57" s="202">
        <f t="shared" ref="E57:E61" si="17">C57</f>
        <v>10000</v>
      </c>
      <c r="F57" s="202"/>
      <c r="G57" s="202"/>
      <c r="H57" s="202"/>
      <c r="I57" s="202"/>
      <c r="J57" s="202"/>
      <c r="K57" s="202"/>
      <c r="L57" s="202"/>
      <c r="M57" s="202"/>
      <c r="N57" s="202"/>
      <c r="O57" s="202"/>
      <c r="P57" s="202"/>
      <c r="Q57" s="202"/>
      <c r="R57" s="550">
        <f t="shared" si="16"/>
        <v>10000</v>
      </c>
      <c r="S57" s="206"/>
      <c r="T57" s="206"/>
      <c r="U57" s="203"/>
    </row>
    <row r="58" spans="1:21" s="144" customFormat="1">
      <c r="A58" s="145" t="s">
        <v>156</v>
      </c>
      <c r="B58" s="146">
        <f t="shared" si="15"/>
        <v>15000</v>
      </c>
      <c r="C58" s="147">
        <v>15000</v>
      </c>
      <c r="D58" s="147"/>
      <c r="E58" s="147">
        <f t="shared" si="17"/>
        <v>15000</v>
      </c>
      <c r="F58" s="147"/>
      <c r="G58" s="147"/>
      <c r="H58" s="147"/>
      <c r="I58" s="147"/>
      <c r="J58" s="147"/>
      <c r="K58" s="147"/>
      <c r="L58" s="147"/>
      <c r="M58" s="147"/>
      <c r="N58" s="147"/>
      <c r="O58" s="147"/>
      <c r="P58" s="147"/>
      <c r="Q58" s="147"/>
      <c r="R58" s="550">
        <f t="shared" si="16"/>
        <v>15000</v>
      </c>
      <c r="S58" s="148"/>
      <c r="T58" s="148"/>
      <c r="U58" s="143"/>
    </row>
    <row r="59" spans="1:21" s="144" customFormat="1">
      <c r="A59" s="304" t="s">
        <v>154</v>
      </c>
      <c r="B59" s="146">
        <f t="shared" si="15"/>
        <v>0</v>
      </c>
      <c r="C59" s="147"/>
      <c r="D59" s="147"/>
      <c r="E59" s="147">
        <f t="shared" si="17"/>
        <v>0</v>
      </c>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50">
        <f t="shared" si="16"/>
        <v>0</v>
      </c>
      <c r="S60" s="148"/>
      <c r="T60" s="148"/>
      <c r="U60" s="143"/>
    </row>
    <row r="61" spans="1:21" s="144" customFormat="1">
      <c r="A61" s="1193" t="s">
        <v>2766</v>
      </c>
      <c r="B61" s="146">
        <f t="shared" si="15"/>
        <v>25000</v>
      </c>
      <c r="C61" s="147">
        <f>10000+15000</f>
        <v>25000</v>
      </c>
      <c r="D61" s="147"/>
      <c r="E61" s="147">
        <f t="shared" si="17"/>
        <v>25000</v>
      </c>
      <c r="F61" s="147"/>
      <c r="G61" s="147"/>
      <c r="H61" s="147"/>
      <c r="I61" s="147"/>
      <c r="J61" s="147"/>
      <c r="K61" s="147"/>
      <c r="L61" s="147"/>
      <c r="M61" s="147"/>
      <c r="N61" s="147"/>
      <c r="O61" s="147"/>
      <c r="P61" s="147"/>
      <c r="Q61" s="147"/>
      <c r="R61" s="550">
        <f t="shared" si="16"/>
        <v>25000</v>
      </c>
      <c r="S61" s="148"/>
      <c r="T61" s="148"/>
      <c r="U61" s="143"/>
    </row>
    <row r="62" spans="1:21" s="144" customFormat="1" ht="13.9" customHeight="1">
      <c r="A62" s="149" t="s">
        <v>302</v>
      </c>
      <c r="B62" s="146">
        <f>SUM(C62:D62)</f>
        <v>113370</v>
      </c>
      <c r="C62" s="146">
        <f t="shared" ref="C62:R62" si="18">SUM(C56:C61)</f>
        <v>113370</v>
      </c>
      <c r="D62" s="146">
        <f t="shared" si="18"/>
        <v>0</v>
      </c>
      <c r="E62" s="146">
        <f t="shared" si="18"/>
        <v>113370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113370</v>
      </c>
      <c r="S62" s="148"/>
      <c r="T62" s="148"/>
      <c r="U62" s="143"/>
    </row>
    <row r="63" spans="1:21" s="144" customFormat="1">
      <c r="A63" s="154" t="s">
        <v>303</v>
      </c>
      <c r="B63" s="146">
        <f t="shared" ref="B63:R63" si="19">SUM(B8+B11+B13+B14+B15+B26+B27+B38+B42+B43+B54+B62)</f>
        <v>47524970</v>
      </c>
      <c r="C63" s="146">
        <f t="shared" si="19"/>
        <v>47524970</v>
      </c>
      <c r="D63" s="146">
        <f t="shared" si="19"/>
        <v>0</v>
      </c>
      <c r="E63" s="146">
        <f t="shared" si="19"/>
        <v>25216181</v>
      </c>
      <c r="F63" s="146">
        <f t="shared" si="19"/>
        <v>6337000</v>
      </c>
      <c r="G63" s="146">
        <f t="shared" si="19"/>
        <v>11279429</v>
      </c>
      <c r="H63" s="146">
        <f t="shared" si="19"/>
        <v>1022368</v>
      </c>
      <c r="I63" s="146">
        <f t="shared" si="19"/>
        <v>3000000</v>
      </c>
      <c r="J63" s="146">
        <f t="shared" si="19"/>
        <v>450000</v>
      </c>
      <c r="K63" s="146">
        <f t="shared" si="19"/>
        <v>219892</v>
      </c>
      <c r="L63" s="146">
        <f t="shared" si="19"/>
        <v>0</v>
      </c>
      <c r="M63" s="146">
        <f t="shared" si="19"/>
        <v>100</v>
      </c>
      <c r="N63" s="146">
        <f t="shared" si="19"/>
        <v>0</v>
      </c>
      <c r="O63" s="146">
        <f t="shared" si="19"/>
        <v>0</v>
      </c>
      <c r="P63" s="146">
        <f t="shared" si="19"/>
        <v>0</v>
      </c>
      <c r="Q63" s="146">
        <f t="shared" si="19"/>
        <v>0</v>
      </c>
      <c r="R63" s="370">
        <f t="shared" si="19"/>
        <v>47524970</v>
      </c>
      <c r="S63" s="146">
        <f>SUM(S10+S13+S14+S15+S26+S27+S38+S42+S43+S54)</f>
        <v>43406804</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f>60000+55000</f>
        <v>115000</v>
      </c>
      <c r="D65" s="147"/>
      <c r="E65" s="147">
        <f>C65</f>
        <v>115000</v>
      </c>
      <c r="F65" s="147"/>
      <c r="G65" s="147"/>
      <c r="H65" s="147"/>
      <c r="I65" s="147"/>
      <c r="J65" s="147"/>
      <c r="K65" s="147"/>
      <c r="L65" s="147"/>
      <c r="M65" s="147"/>
      <c r="N65" s="147"/>
      <c r="O65" s="147"/>
      <c r="P65" s="147"/>
      <c r="Q65" s="147"/>
      <c r="R65" s="550">
        <f>SUM(E65:Q65)</f>
        <v>115000</v>
      </c>
      <c r="S65" s="147">
        <v>26489</v>
      </c>
      <c r="T65" s="147"/>
      <c r="U65" s="143"/>
    </row>
    <row r="66" spans="1:21" s="144" customFormat="1" ht="24" customHeight="1">
      <c r="A66" s="304" t="s">
        <v>1754</v>
      </c>
      <c r="B66" s="146">
        <f>SUM(C66+D66)</f>
        <v>0</v>
      </c>
      <c r="C66" s="147"/>
      <c r="D66" s="147"/>
      <c r="E66" s="147">
        <f t="shared" ref="E66:E69" si="20">C66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0"/>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0"/>
        <v>0</v>
      </c>
      <c r="F68" s="147"/>
      <c r="G68" s="147"/>
      <c r="H68" s="147"/>
      <c r="I68" s="147"/>
      <c r="J68" s="147"/>
      <c r="K68" s="147"/>
      <c r="L68" s="147"/>
      <c r="M68" s="147"/>
      <c r="N68" s="147"/>
      <c r="O68" s="147"/>
      <c r="P68" s="147"/>
      <c r="Q68" s="147"/>
      <c r="R68" s="550">
        <f>SUM(E68:Q68)</f>
        <v>0</v>
      </c>
      <c r="S68" s="147"/>
      <c r="T68" s="147"/>
      <c r="U68" s="143"/>
    </row>
    <row r="69" spans="1:21" s="144" customFormat="1">
      <c r="A69" s="1193" t="s">
        <v>2767</v>
      </c>
      <c r="B69" s="146">
        <f>SUM(C69+D69)</f>
        <v>71842</v>
      </c>
      <c r="C69" s="147">
        <f>71842</f>
        <v>71842</v>
      </c>
      <c r="D69" s="147"/>
      <c r="E69" s="147">
        <f t="shared" si="20"/>
        <v>71842</v>
      </c>
      <c r="F69" s="147"/>
      <c r="G69" s="147"/>
      <c r="H69" s="147"/>
      <c r="I69" s="147"/>
      <c r="J69" s="147"/>
      <c r="K69" s="147"/>
      <c r="L69" s="147"/>
      <c r="M69" s="147"/>
      <c r="N69" s="147"/>
      <c r="O69" s="147"/>
      <c r="P69" s="147"/>
      <c r="Q69" s="147"/>
      <c r="R69" s="550">
        <f>SUM(E69:Q69)</f>
        <v>71842</v>
      </c>
      <c r="S69" s="147">
        <v>71842</v>
      </c>
      <c r="T69" s="147"/>
      <c r="U69" s="143"/>
    </row>
    <row r="70" spans="1:21" s="144" customFormat="1">
      <c r="A70" s="149" t="s">
        <v>1758</v>
      </c>
      <c r="B70" s="146">
        <f>SUM(C70:D70)</f>
        <v>186842</v>
      </c>
      <c r="C70" s="146">
        <f>SUM(C65:C69)</f>
        <v>186842</v>
      </c>
      <c r="D70" s="146">
        <f>SUM(D65:D69)</f>
        <v>0</v>
      </c>
      <c r="E70" s="146">
        <f t="shared" ref="E70:T70" si="21">SUM(E65:E69)</f>
        <v>186842</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186842</v>
      </c>
      <c r="S70" s="150">
        <f t="shared" si="21"/>
        <v>98331</v>
      </c>
      <c r="T70" s="150">
        <f t="shared" si="2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ref="E73:E76" si="22">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2"/>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678568</v>
      </c>
      <c r="C75" s="147">
        <v>678568</v>
      </c>
      <c r="D75" s="147"/>
      <c r="E75" s="147">
        <f t="shared" si="22"/>
        <v>678568</v>
      </c>
      <c r="F75" s="147"/>
      <c r="G75" s="147"/>
      <c r="H75" s="147"/>
      <c r="I75" s="147"/>
      <c r="J75" s="147"/>
      <c r="K75" s="147"/>
      <c r="L75" s="147"/>
      <c r="M75" s="147"/>
      <c r="N75" s="147"/>
      <c r="O75" s="147"/>
      <c r="P75" s="147"/>
      <c r="Q75" s="147"/>
      <c r="R75" s="550">
        <f>SUM(E75:Q75)</f>
        <v>678568</v>
      </c>
      <c r="S75" s="148"/>
      <c r="T75" s="148"/>
      <c r="U75" s="143"/>
    </row>
    <row r="76" spans="1:21" s="144" customFormat="1">
      <c r="A76" s="1193" t="s">
        <v>2761</v>
      </c>
      <c r="B76" s="146">
        <f>SUM(C76+D76)</f>
        <v>218299</v>
      </c>
      <c r="C76" s="147">
        <v>218299</v>
      </c>
      <c r="D76" s="147"/>
      <c r="E76" s="147">
        <f t="shared" si="22"/>
        <v>218299</v>
      </c>
      <c r="F76" s="147"/>
      <c r="G76" s="147"/>
      <c r="H76" s="147"/>
      <c r="I76" s="147"/>
      <c r="J76" s="147"/>
      <c r="K76" s="147"/>
      <c r="L76" s="147"/>
      <c r="M76" s="147"/>
      <c r="N76" s="147"/>
      <c r="O76" s="147"/>
      <c r="P76" s="147"/>
      <c r="Q76" s="147"/>
      <c r="R76" s="550">
        <f>SUM(E76:Q76)</f>
        <v>218299</v>
      </c>
      <c r="S76" s="148"/>
      <c r="T76" s="148"/>
      <c r="U76" s="143"/>
    </row>
    <row r="77" spans="1:21" s="144" customFormat="1">
      <c r="A77" s="149" t="s">
        <v>614</v>
      </c>
      <c r="B77" s="146">
        <f>SUM(C77:D77)</f>
        <v>896867</v>
      </c>
      <c r="C77" s="146">
        <f>SUM(C72:C76)</f>
        <v>896867</v>
      </c>
      <c r="D77" s="146">
        <f>SUM(D72:D76)</f>
        <v>0</v>
      </c>
      <c r="E77" s="146">
        <f t="shared" ref="E77:Q77" si="23">SUM(E72:E76)</f>
        <v>896867</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896867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1886319</v>
      </c>
      <c r="C79" s="147">
        <v>1886319</v>
      </c>
      <c r="D79" s="147"/>
      <c r="E79" s="147">
        <f>C79</f>
        <v>1886319</v>
      </c>
      <c r="F79" s="147"/>
      <c r="G79" s="147"/>
      <c r="H79" s="147"/>
      <c r="I79" s="147"/>
      <c r="J79" s="147"/>
      <c r="K79" s="147"/>
      <c r="L79" s="147"/>
      <c r="M79" s="147"/>
      <c r="N79" s="147"/>
      <c r="O79" s="147"/>
      <c r="P79" s="147"/>
      <c r="Q79" s="147"/>
      <c r="R79" s="550">
        <f>SUM(E79:Q79)</f>
        <v>1886319</v>
      </c>
      <c r="S79" s="147">
        <f>R79</f>
        <v>1886319</v>
      </c>
      <c r="T79" s="147"/>
      <c r="U79" s="143"/>
    </row>
    <row r="80" spans="1:21" s="144" customFormat="1">
      <c r="A80" s="304" t="s">
        <v>58</v>
      </c>
      <c r="B80" s="146">
        <f>SUM(C80:D80)</f>
        <v>388000</v>
      </c>
      <c r="C80" s="147">
        <v>388000</v>
      </c>
      <c r="D80" s="147"/>
      <c r="E80" s="147">
        <f>C80</f>
        <v>388000</v>
      </c>
      <c r="F80" s="147"/>
      <c r="G80" s="147"/>
      <c r="H80" s="147"/>
      <c r="I80" s="147"/>
      <c r="J80" s="147"/>
      <c r="K80" s="147"/>
      <c r="L80" s="147"/>
      <c r="M80" s="147"/>
      <c r="N80" s="147"/>
      <c r="O80" s="147"/>
      <c r="P80" s="147"/>
      <c r="Q80" s="147"/>
      <c r="R80" s="550">
        <f>SUM(E80:Q80)</f>
        <v>388000</v>
      </c>
      <c r="S80" s="147">
        <f>R80</f>
        <v>388000</v>
      </c>
      <c r="T80" s="147"/>
      <c r="U80" s="143"/>
    </row>
    <row r="81" spans="1:21" s="144" customFormat="1">
      <c r="A81" s="149" t="s">
        <v>1315</v>
      </c>
      <c r="B81" s="146">
        <f>SUM(C81:D81)</f>
        <v>2274319</v>
      </c>
      <c r="C81" s="543">
        <f>SUM(C79:C80)</f>
        <v>2274319</v>
      </c>
      <c r="D81" s="543">
        <f t="shared" ref="D81:T81" si="24">SUM(D79:D80)</f>
        <v>0</v>
      </c>
      <c r="E81" s="543">
        <f t="shared" si="24"/>
        <v>2274319</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2274319</v>
      </c>
      <c r="S81" s="543">
        <f t="shared" si="24"/>
        <v>2274319</v>
      </c>
      <c r="T81" s="543">
        <f t="shared" si="24"/>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2411</v>
      </c>
      <c r="B83" s="146">
        <f t="shared" ref="B83:B95" si="25">SUM(C83+D83)</f>
        <v>89565</v>
      </c>
      <c r="C83" s="147">
        <v>89565</v>
      </c>
      <c r="D83" s="147"/>
      <c r="E83" s="147">
        <f>C83</f>
        <v>89565</v>
      </c>
      <c r="F83" s="147"/>
      <c r="G83" s="147"/>
      <c r="H83" s="147"/>
      <c r="I83" s="147"/>
      <c r="J83" s="147"/>
      <c r="K83" s="147"/>
      <c r="L83" s="147"/>
      <c r="M83" s="147"/>
      <c r="N83" s="147"/>
      <c r="O83" s="147"/>
      <c r="P83" s="147"/>
      <c r="Q83" s="147"/>
      <c r="R83" s="550">
        <f t="shared" ref="R83:R95" si="26">SUM(E83:Q83)</f>
        <v>89565</v>
      </c>
      <c r="S83" s="148"/>
      <c r="T83" s="148"/>
      <c r="U83" s="143"/>
    </row>
    <row r="84" spans="1:21" s="144" customFormat="1">
      <c r="A84" s="145" t="s">
        <v>776</v>
      </c>
      <c r="B84" s="146">
        <f t="shared" si="25"/>
        <v>15225</v>
      </c>
      <c r="C84" s="147">
        <v>15225</v>
      </c>
      <c r="D84" s="147"/>
      <c r="E84" s="147">
        <f t="shared" ref="E84:E95" si="27">C84</f>
        <v>15225</v>
      </c>
      <c r="F84" s="147"/>
      <c r="G84" s="147"/>
      <c r="H84" s="147"/>
      <c r="I84" s="147"/>
      <c r="J84" s="147"/>
      <c r="K84" s="147"/>
      <c r="L84" s="147"/>
      <c r="M84" s="147"/>
      <c r="N84" s="147"/>
      <c r="O84" s="147"/>
      <c r="P84" s="147"/>
      <c r="Q84" s="147"/>
      <c r="R84" s="550">
        <f t="shared" si="26"/>
        <v>15225</v>
      </c>
      <c r="S84" s="147">
        <f>R84</f>
        <v>15225</v>
      </c>
      <c r="T84" s="147"/>
      <c r="U84" s="143"/>
    </row>
    <row r="85" spans="1:21" s="144" customFormat="1">
      <c r="A85" s="145" t="s">
        <v>777</v>
      </c>
      <c r="B85" s="146">
        <f t="shared" si="25"/>
        <v>1780802</v>
      </c>
      <c r="C85" s="147">
        <v>1780802</v>
      </c>
      <c r="D85" s="147"/>
      <c r="E85" s="147">
        <f t="shared" si="27"/>
        <v>1780802</v>
      </c>
      <c r="F85" s="147"/>
      <c r="G85" s="147"/>
      <c r="H85" s="147"/>
      <c r="I85" s="147"/>
      <c r="J85" s="147"/>
      <c r="K85" s="147"/>
      <c r="L85" s="147"/>
      <c r="M85" s="147"/>
      <c r="N85" s="147"/>
      <c r="O85" s="147"/>
      <c r="P85" s="147"/>
      <c r="Q85" s="147"/>
      <c r="R85" s="550">
        <f t="shared" si="26"/>
        <v>1780802</v>
      </c>
      <c r="S85" s="147">
        <f>R85</f>
        <v>1780802</v>
      </c>
      <c r="T85" s="147"/>
      <c r="U85" s="143"/>
    </row>
    <row r="86" spans="1:21" s="144" customFormat="1">
      <c r="A86" s="145" t="s">
        <v>778</v>
      </c>
      <c r="B86" s="146">
        <f t="shared" si="25"/>
        <v>1034133</v>
      </c>
      <c r="C86" s="147">
        <v>1034133</v>
      </c>
      <c r="D86" s="147"/>
      <c r="E86" s="147">
        <f t="shared" si="27"/>
        <v>1034133</v>
      </c>
      <c r="F86" s="147"/>
      <c r="G86" s="147"/>
      <c r="H86" s="147"/>
      <c r="I86" s="147"/>
      <c r="J86" s="147"/>
      <c r="K86" s="147"/>
      <c r="L86" s="147"/>
      <c r="M86" s="147"/>
      <c r="N86" s="147"/>
      <c r="O86" s="147"/>
      <c r="P86" s="147"/>
      <c r="Q86" s="147"/>
      <c r="R86" s="550">
        <f t="shared" si="26"/>
        <v>1034133</v>
      </c>
      <c r="S86" s="147">
        <f>R86</f>
        <v>1034133</v>
      </c>
      <c r="T86" s="147"/>
      <c r="U86" s="143"/>
    </row>
    <row r="87" spans="1:21" s="144" customFormat="1">
      <c r="A87" s="145" t="s">
        <v>779</v>
      </c>
      <c r="B87" s="146">
        <f t="shared" si="25"/>
        <v>0</v>
      </c>
      <c r="C87" s="147"/>
      <c r="D87" s="147"/>
      <c r="E87" s="147">
        <f t="shared" si="27"/>
        <v>0</v>
      </c>
      <c r="F87" s="147"/>
      <c r="G87" s="147"/>
      <c r="H87" s="147"/>
      <c r="I87" s="147"/>
      <c r="J87" s="147"/>
      <c r="K87" s="147"/>
      <c r="L87" s="147"/>
      <c r="M87" s="147"/>
      <c r="N87" s="147"/>
      <c r="O87" s="147"/>
      <c r="P87" s="147"/>
      <c r="Q87" s="147"/>
      <c r="R87" s="550">
        <f t="shared" si="26"/>
        <v>0</v>
      </c>
      <c r="S87" s="147"/>
      <c r="T87" s="147"/>
      <c r="U87" s="143"/>
    </row>
    <row r="88" spans="1:21" s="144" customFormat="1">
      <c r="A88" s="145" t="s">
        <v>780</v>
      </c>
      <c r="B88" s="146">
        <f t="shared" si="25"/>
        <v>66316</v>
      </c>
      <c r="C88" s="147">
        <v>66316</v>
      </c>
      <c r="D88" s="147"/>
      <c r="E88" s="147">
        <f t="shared" si="27"/>
        <v>66316</v>
      </c>
      <c r="F88" s="147"/>
      <c r="G88" s="147"/>
      <c r="H88" s="147"/>
      <c r="I88" s="147"/>
      <c r="J88" s="147"/>
      <c r="K88" s="147"/>
      <c r="L88" s="147"/>
      <c r="M88" s="147"/>
      <c r="N88" s="147"/>
      <c r="O88" s="147"/>
      <c r="P88" s="147"/>
      <c r="Q88" s="147"/>
      <c r="R88" s="550">
        <f t="shared" si="26"/>
        <v>66316</v>
      </c>
      <c r="S88" s="148"/>
      <c r="T88" s="148"/>
      <c r="U88" s="143"/>
    </row>
    <row r="89" spans="1:21" s="144" customFormat="1">
      <c r="A89" s="145" t="s">
        <v>781</v>
      </c>
      <c r="B89" s="146">
        <f t="shared" si="25"/>
        <v>157500</v>
      </c>
      <c r="C89" s="147">
        <v>157500</v>
      </c>
      <c r="D89" s="147"/>
      <c r="E89" s="147">
        <f t="shared" si="27"/>
        <v>157500</v>
      </c>
      <c r="F89" s="147"/>
      <c r="G89" s="147"/>
      <c r="H89" s="147"/>
      <c r="I89" s="147"/>
      <c r="J89" s="147"/>
      <c r="K89" s="147"/>
      <c r="L89" s="147"/>
      <c r="M89" s="147"/>
      <c r="N89" s="147"/>
      <c r="O89" s="147"/>
      <c r="P89" s="147"/>
      <c r="Q89" s="147"/>
      <c r="R89" s="550">
        <f t="shared" si="26"/>
        <v>157500</v>
      </c>
      <c r="S89" s="147">
        <f>R89</f>
        <v>157500</v>
      </c>
      <c r="T89" s="147"/>
      <c r="U89" s="143"/>
    </row>
    <row r="90" spans="1:21" s="144" customFormat="1">
      <c r="A90" s="145" t="s">
        <v>782</v>
      </c>
      <c r="B90" s="146">
        <f t="shared" si="25"/>
        <v>16579</v>
      </c>
      <c r="C90" s="147">
        <v>16579</v>
      </c>
      <c r="D90" s="147"/>
      <c r="E90" s="147">
        <f t="shared" si="27"/>
        <v>16579</v>
      </c>
      <c r="F90" s="147"/>
      <c r="G90" s="147"/>
      <c r="H90" s="147"/>
      <c r="I90" s="147"/>
      <c r="J90" s="147"/>
      <c r="K90" s="147"/>
      <c r="L90" s="147"/>
      <c r="M90" s="147"/>
      <c r="N90" s="147"/>
      <c r="O90" s="147"/>
      <c r="P90" s="147"/>
      <c r="Q90" s="147"/>
      <c r="R90" s="550">
        <f t="shared" si="26"/>
        <v>16579</v>
      </c>
      <c r="S90" s="147"/>
      <c r="T90" s="147"/>
      <c r="U90" s="143"/>
    </row>
    <row r="91" spans="1:21" s="144" customFormat="1">
      <c r="A91" s="145" t="s">
        <v>373</v>
      </c>
      <c r="B91" s="146">
        <f t="shared" si="25"/>
        <v>0</v>
      </c>
      <c r="C91" s="147"/>
      <c r="D91" s="147"/>
      <c r="E91" s="147"/>
      <c r="F91" s="147"/>
      <c r="G91" s="147"/>
      <c r="H91" s="147"/>
      <c r="I91" s="147"/>
      <c r="J91" s="147"/>
      <c r="K91" s="147"/>
      <c r="L91" s="147"/>
      <c r="M91" s="147"/>
      <c r="N91" s="147"/>
      <c r="O91" s="147"/>
      <c r="P91" s="147"/>
      <c r="Q91" s="147"/>
      <c r="R91" s="550">
        <f t="shared" si="26"/>
        <v>0</v>
      </c>
      <c r="S91" s="147"/>
      <c r="T91" s="147"/>
      <c r="U91" s="143"/>
    </row>
    <row r="92" spans="1:21" s="144" customFormat="1">
      <c r="A92" s="304" t="s">
        <v>1317</v>
      </c>
      <c r="B92" s="146">
        <f t="shared" si="25"/>
        <v>6500</v>
      </c>
      <c r="C92" s="147">
        <v>6500</v>
      </c>
      <c r="D92" s="147"/>
      <c r="E92" s="147">
        <f t="shared" si="27"/>
        <v>6500</v>
      </c>
      <c r="F92" s="147"/>
      <c r="G92" s="147"/>
      <c r="H92" s="147"/>
      <c r="I92" s="147"/>
      <c r="J92" s="147"/>
      <c r="K92" s="147"/>
      <c r="L92" s="147"/>
      <c r="M92" s="147"/>
      <c r="N92" s="147"/>
      <c r="O92" s="147"/>
      <c r="P92" s="147"/>
      <c r="Q92" s="147"/>
      <c r="R92" s="550">
        <f t="shared" si="26"/>
        <v>6500</v>
      </c>
      <c r="S92" s="147">
        <f>R92</f>
        <v>6500</v>
      </c>
      <c r="T92" s="147"/>
      <c r="U92" s="143"/>
    </row>
    <row r="93" spans="1:21" s="144" customFormat="1">
      <c r="A93" s="1193" t="s">
        <v>2759</v>
      </c>
      <c r="B93" s="146">
        <f t="shared" si="25"/>
        <v>72160</v>
      </c>
      <c r="C93" s="147">
        <v>72160</v>
      </c>
      <c r="D93" s="147"/>
      <c r="E93" s="147">
        <f t="shared" si="27"/>
        <v>72160</v>
      </c>
      <c r="F93" s="147"/>
      <c r="G93" s="147"/>
      <c r="H93" s="147"/>
      <c r="I93" s="147"/>
      <c r="J93" s="147"/>
      <c r="K93" s="147"/>
      <c r="L93" s="147"/>
      <c r="M93" s="147"/>
      <c r="N93" s="147"/>
      <c r="O93" s="147"/>
      <c r="P93" s="147"/>
      <c r="Q93" s="147"/>
      <c r="R93" s="550">
        <f t="shared" si="26"/>
        <v>72160</v>
      </c>
      <c r="S93" s="147">
        <f>R93</f>
        <v>72160</v>
      </c>
      <c r="T93" s="147"/>
      <c r="U93" s="143"/>
    </row>
    <row r="94" spans="1:21" s="144" customFormat="1">
      <c r="A94" s="1193" t="s">
        <v>2760</v>
      </c>
      <c r="B94" s="146">
        <f t="shared" si="25"/>
        <v>128500</v>
      </c>
      <c r="C94" s="147">
        <f>28500+50000+50000</f>
        <v>128500</v>
      </c>
      <c r="D94" s="147"/>
      <c r="E94" s="147">
        <f t="shared" si="27"/>
        <v>128500</v>
      </c>
      <c r="F94" s="147"/>
      <c r="G94" s="147"/>
      <c r="H94" s="147"/>
      <c r="I94" s="147"/>
      <c r="J94" s="147"/>
      <c r="K94" s="147"/>
      <c r="L94" s="147"/>
      <c r="M94" s="147"/>
      <c r="N94" s="147"/>
      <c r="O94" s="147"/>
      <c r="P94" s="147"/>
      <c r="Q94" s="147"/>
      <c r="R94" s="550">
        <f t="shared" si="26"/>
        <v>128500</v>
      </c>
      <c r="S94" s="147">
        <f>R94</f>
        <v>128500</v>
      </c>
      <c r="T94" s="147"/>
      <c r="U94" s="143"/>
    </row>
    <row r="95" spans="1:21" s="144" customFormat="1">
      <c r="A95" s="1193" t="s">
        <v>2762</v>
      </c>
      <c r="B95" s="146">
        <f t="shared" si="25"/>
        <v>17025</v>
      </c>
      <c r="C95" s="147">
        <v>17025</v>
      </c>
      <c r="D95" s="147"/>
      <c r="E95" s="147">
        <f t="shared" si="27"/>
        <v>17025</v>
      </c>
      <c r="F95" s="147"/>
      <c r="G95" s="147"/>
      <c r="H95" s="147"/>
      <c r="I95" s="147"/>
      <c r="J95" s="147"/>
      <c r="K95" s="147"/>
      <c r="L95" s="147"/>
      <c r="M95" s="147"/>
      <c r="N95" s="147"/>
      <c r="O95" s="147"/>
      <c r="P95" s="147"/>
      <c r="Q95" s="147"/>
      <c r="R95" s="550">
        <f t="shared" si="26"/>
        <v>17025</v>
      </c>
      <c r="S95" s="147"/>
      <c r="T95" s="147"/>
      <c r="U95" s="143"/>
    </row>
    <row r="96" spans="1:21" s="144" customFormat="1">
      <c r="A96" s="149" t="s">
        <v>783</v>
      </c>
      <c r="B96" s="146">
        <f>SUM(C96:D96)</f>
        <v>3384305</v>
      </c>
      <c r="C96" s="146">
        <f t="shared" ref="C96:R96" si="28">SUM(C83:C95)</f>
        <v>3384305</v>
      </c>
      <c r="D96" s="146">
        <f t="shared" si="28"/>
        <v>0</v>
      </c>
      <c r="E96" s="146">
        <f t="shared" si="28"/>
        <v>3384305</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3384305</v>
      </c>
      <c r="S96" s="150">
        <f>SUM(S84:S87,S89:S95)</f>
        <v>3194820</v>
      </c>
      <c r="T96" s="146">
        <f>SUM(T84:T87,T89:T95)</f>
        <v>0</v>
      </c>
      <c r="U96" s="143"/>
    </row>
    <row r="97" spans="1:21" s="144" customFormat="1">
      <c r="A97" s="149" t="s">
        <v>784</v>
      </c>
      <c r="B97" s="146">
        <f>SUM(C97:D97)</f>
        <v>54267303</v>
      </c>
      <c r="C97" s="146">
        <f t="shared" ref="C97:R97" si="29">SUM(C63+C70+C77+C81+C96)</f>
        <v>54267303</v>
      </c>
      <c r="D97" s="146">
        <f t="shared" si="29"/>
        <v>0</v>
      </c>
      <c r="E97" s="146">
        <f t="shared" si="29"/>
        <v>31958514</v>
      </c>
      <c r="F97" s="146">
        <f t="shared" si="29"/>
        <v>6337000</v>
      </c>
      <c r="G97" s="146">
        <f t="shared" si="29"/>
        <v>11279429</v>
      </c>
      <c r="H97" s="146">
        <f t="shared" si="29"/>
        <v>1022368</v>
      </c>
      <c r="I97" s="146">
        <f t="shared" si="29"/>
        <v>3000000</v>
      </c>
      <c r="J97" s="146">
        <f t="shared" si="29"/>
        <v>450000</v>
      </c>
      <c r="K97" s="146">
        <f t="shared" si="29"/>
        <v>219892</v>
      </c>
      <c r="L97" s="146">
        <f t="shared" si="29"/>
        <v>0</v>
      </c>
      <c r="M97" s="146">
        <f t="shared" si="29"/>
        <v>100</v>
      </c>
      <c r="N97" s="146">
        <f t="shared" si="29"/>
        <v>0</v>
      </c>
      <c r="O97" s="146">
        <f t="shared" si="29"/>
        <v>0</v>
      </c>
      <c r="P97" s="146">
        <f t="shared" si="29"/>
        <v>0</v>
      </c>
      <c r="Q97" s="146">
        <f t="shared" si="29"/>
        <v>0</v>
      </c>
      <c r="R97" s="146">
        <f t="shared" si="29"/>
        <v>54267303</v>
      </c>
      <c r="S97" s="146">
        <f>SUM(S63+S70+S81+S96)</f>
        <v>48974274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7346020</v>
      </c>
      <c r="C99" s="1014">
        <v>7346020</v>
      </c>
      <c r="D99" s="1014"/>
      <c r="E99" s="1014">
        <f>C99-L99</f>
        <v>1215391</v>
      </c>
      <c r="F99" s="147"/>
      <c r="G99" s="147"/>
      <c r="H99" s="147"/>
      <c r="I99" s="147"/>
      <c r="J99" s="147"/>
      <c r="K99" s="147"/>
      <c r="L99" s="147">
        <v>6130629</v>
      </c>
      <c r="M99" s="147"/>
      <c r="N99" s="147"/>
      <c r="O99" s="147"/>
      <c r="P99" s="147"/>
      <c r="Q99" s="147"/>
      <c r="R99" s="550">
        <f>SUM(E99:Q99)</f>
        <v>7346020</v>
      </c>
      <c r="S99" s="147">
        <f>R99</f>
        <v>7346020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7346020</v>
      </c>
      <c r="C104" s="146">
        <f>SUM(C99:C103)</f>
        <v>7346020</v>
      </c>
      <c r="D104" s="146">
        <f t="shared" ref="D104:T104" si="30">SUM(D99:D103)</f>
        <v>0</v>
      </c>
      <c r="E104" s="146">
        <f t="shared" si="30"/>
        <v>1215391</v>
      </c>
      <c r="F104" s="146">
        <f t="shared" si="30"/>
        <v>0</v>
      </c>
      <c r="G104" s="146">
        <f t="shared" si="30"/>
        <v>0</v>
      </c>
      <c r="H104" s="146">
        <f t="shared" si="30"/>
        <v>0</v>
      </c>
      <c r="I104" s="146">
        <f t="shared" si="30"/>
        <v>0</v>
      </c>
      <c r="J104" s="146">
        <f t="shared" si="30"/>
        <v>0</v>
      </c>
      <c r="K104" s="146">
        <f t="shared" si="30"/>
        <v>0</v>
      </c>
      <c r="L104" s="146">
        <f t="shared" si="30"/>
        <v>6130629</v>
      </c>
      <c r="M104" s="146">
        <f t="shared" si="30"/>
        <v>0</v>
      </c>
      <c r="N104" s="146">
        <f t="shared" si="30"/>
        <v>0</v>
      </c>
      <c r="O104" s="146">
        <f t="shared" si="30"/>
        <v>0</v>
      </c>
      <c r="P104" s="146">
        <f t="shared" si="30"/>
        <v>0</v>
      </c>
      <c r="Q104" s="146">
        <f t="shared" si="30"/>
        <v>0</v>
      </c>
      <c r="R104" s="370">
        <f t="shared" si="30"/>
        <v>7346020</v>
      </c>
      <c r="S104" s="150">
        <f t="shared" si="30"/>
        <v>7346020</v>
      </c>
      <c r="T104" s="150">
        <f t="shared" si="30"/>
        <v>0</v>
      </c>
      <c r="U104" s="143"/>
    </row>
    <row r="105" spans="1:21" s="144" customFormat="1">
      <c r="A105" s="149" t="s">
        <v>789</v>
      </c>
      <c r="B105" s="150">
        <f>SUM(C105:D105)</f>
        <v>61613323</v>
      </c>
      <c r="C105" s="150">
        <f t="shared" ref="C105:R105" si="31">SUM(C97+C104)</f>
        <v>61613323</v>
      </c>
      <c r="D105" s="150">
        <f t="shared" si="31"/>
        <v>0</v>
      </c>
      <c r="E105" s="150">
        <f t="shared" si="31"/>
        <v>33173905</v>
      </c>
      <c r="F105" s="150">
        <f t="shared" si="31"/>
        <v>6337000</v>
      </c>
      <c r="G105" s="150">
        <f t="shared" si="31"/>
        <v>11279429</v>
      </c>
      <c r="H105" s="150">
        <f t="shared" si="31"/>
        <v>1022368</v>
      </c>
      <c r="I105" s="150">
        <f t="shared" si="31"/>
        <v>3000000</v>
      </c>
      <c r="J105" s="150">
        <f t="shared" si="31"/>
        <v>450000</v>
      </c>
      <c r="K105" s="150">
        <f t="shared" si="31"/>
        <v>219892</v>
      </c>
      <c r="L105" s="150">
        <f t="shared" si="31"/>
        <v>6130629</v>
      </c>
      <c r="M105" s="150">
        <f t="shared" si="31"/>
        <v>100</v>
      </c>
      <c r="N105" s="150">
        <f t="shared" si="31"/>
        <v>0</v>
      </c>
      <c r="O105" s="150">
        <f t="shared" si="31"/>
        <v>0</v>
      </c>
      <c r="P105" s="150">
        <f t="shared" si="31"/>
        <v>0</v>
      </c>
      <c r="Q105" s="150">
        <f t="shared" si="31"/>
        <v>0</v>
      </c>
      <c r="R105" s="370">
        <f t="shared" si="31"/>
        <v>61613323</v>
      </c>
      <c r="S105" s="150">
        <f>S97+S104</f>
        <v>56320294</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56320294</v>
      </c>
      <c r="T107" s="150">
        <f>T105+T106</f>
        <v>0</v>
      </c>
    </row>
    <row r="108" spans="1:21" s="201" customFormat="1">
      <c r="A108" s="162" t="s">
        <v>891</v>
      </c>
      <c r="B108" s="157"/>
      <c r="C108" s="157"/>
      <c r="D108" s="157"/>
      <c r="E108" s="323">
        <f>Application!AO640</f>
        <v>33173905</v>
      </c>
      <c r="F108" s="323">
        <f>Application!AO627</f>
        <v>6337000</v>
      </c>
      <c r="G108" s="323">
        <f>Application!AO628</f>
        <v>11279429</v>
      </c>
      <c r="H108" s="323">
        <f>Application!AO629</f>
        <v>1022368</v>
      </c>
      <c r="I108" s="323">
        <f>Application!AO630</f>
        <v>3000000</v>
      </c>
      <c r="J108" s="323">
        <f>Application!AO631</f>
        <v>450000</v>
      </c>
      <c r="K108" s="323">
        <f>Application!AO632</f>
        <v>219892</v>
      </c>
      <c r="L108" s="323">
        <f>Application!AO633</f>
        <v>6130629</v>
      </c>
      <c r="M108" s="323">
        <f>Application!AO634</f>
        <v>100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9" t="s">
        <v>1014</v>
      </c>
      <c r="E122" s="1879"/>
      <c r="F122" s="187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1" t="s">
        <v>1331</v>
      </c>
      <c r="E123" s="1808"/>
      <c r="F123" s="1808"/>
      <c r="G123" s="1808"/>
      <c r="H123" s="1808"/>
      <c r="I123" s="1808"/>
      <c r="J123" s="1808"/>
      <c r="K123" s="1808"/>
      <c r="L123" s="1808"/>
      <c r="M123" s="1808"/>
      <c r="N123" s="1808"/>
      <c r="O123" s="1808"/>
      <c r="P123" s="1808"/>
      <c r="Q123" s="1808"/>
      <c r="R123" s="1808"/>
      <c r="S123" s="1808"/>
      <c r="T123" s="352"/>
      <c r="U123" s="354"/>
    </row>
    <row r="124" spans="1:21" ht="12.75">
      <c r="A124" s="117" t="s">
        <v>1016</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75">
      <c r="A125" s="117" t="s">
        <v>1017</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75">
      <c r="A129" s="117" t="s">
        <v>301</v>
      </c>
      <c r="B129" s="361"/>
      <c r="C129" s="117"/>
      <c r="D129" s="1878" t="s">
        <v>1021</v>
      </c>
      <c r="E129" s="1878"/>
      <c r="F129" s="1878"/>
      <c r="G129" s="1878"/>
      <c r="H129" s="1878"/>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2" t="s">
        <v>1024</v>
      </c>
      <c r="E132" s="1882"/>
      <c r="F132" s="1882"/>
      <c r="G132" s="1882"/>
      <c r="H132" s="1882"/>
      <c r="I132" s="117"/>
      <c r="J132" s="1882" t="s">
        <v>1025</v>
      </c>
      <c r="K132" s="1882"/>
      <c r="L132" s="1882"/>
      <c r="M132" s="188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75">
      <c r="A139" s="1880" t="s">
        <v>1028</v>
      </c>
      <c r="B139" s="1880"/>
      <c r="C139" s="1880"/>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 zoomScale="95" zoomScaleNormal="120" workbookViewId="0">
      <selection activeCell="AB213" sqref="AB213:AG2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6" t="s">
        <v>1411</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1416</v>
      </c>
      <c r="AF7" s="1900"/>
      <c r="AG7" s="1900"/>
      <c r="AH7" s="1900"/>
      <c r="AI7" s="1900"/>
      <c r="AJ7" s="1900"/>
      <c r="AK7" s="190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599</v>
      </c>
      <c r="C13" s="189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599</v>
      </c>
      <c r="C16" s="1890"/>
      <c r="D16" s="581"/>
      <c r="E16" s="1901" t="s">
        <v>1418</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1419</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599</v>
      </c>
      <c r="C22" s="1890"/>
      <c r="D22" s="581"/>
      <c r="E22" s="1923" t="s">
        <v>1421</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1419</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599</v>
      </c>
      <c r="C25" s="1890"/>
      <c r="D25" s="581"/>
      <c r="E25" s="1891" t="s">
        <v>2348</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1419</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0" t="s">
        <v>599</v>
      </c>
      <c r="C30" s="1890"/>
      <c r="D30" s="581"/>
      <c r="E30" s="1923" t="s">
        <v>2320</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599</v>
      </c>
      <c r="C33" s="1890"/>
      <c r="D33" s="581"/>
      <c r="E33" s="1891" t="s">
        <v>2321</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599</v>
      </c>
      <c r="C39" s="1890"/>
      <c r="D39" s="1186"/>
      <c r="E39" s="1891" t="s">
        <v>2322</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599</v>
      </c>
      <c r="C46" s="1890"/>
      <c r="D46" s="574"/>
      <c r="E46" s="1891" t="s">
        <v>2327</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599</v>
      </c>
      <c r="C50" s="1890"/>
      <c r="D50" s="574"/>
      <c r="E50" s="1911" t="s">
        <v>2328</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599</v>
      </c>
      <c r="C52" s="1890"/>
      <c r="D52" s="574"/>
      <c r="E52" s="1891" t="s">
        <v>2329</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1425</v>
      </c>
      <c r="AF59" s="1900"/>
      <c r="AG59" s="1900"/>
      <c r="AH59" s="1900"/>
      <c r="AI59" s="1900"/>
      <c r="AJ59" s="1900"/>
      <c r="AK59" s="190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553</v>
      </c>
      <c r="C62" s="1890"/>
      <c r="D62" s="581" t="s">
        <v>1426</v>
      </c>
      <c r="E62" s="1901" t="s">
        <v>2330</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10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1427</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599</v>
      </c>
      <c r="C68" s="189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599</v>
      </c>
      <c r="F69" s="189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599</v>
      </c>
      <c r="F70" s="188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599</v>
      </c>
      <c r="F71" s="188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553</v>
      </c>
      <c r="F73" s="189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599</v>
      </c>
      <c r="C75" s="1890"/>
      <c r="D75" s="581" t="s">
        <v>1431</v>
      </c>
      <c r="E75" s="1891" t="s">
        <v>1930</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1416</v>
      </c>
      <c r="AF81" s="1900"/>
      <c r="AG81" s="1900"/>
      <c r="AH81" s="1900"/>
      <c r="AI81" s="1900"/>
      <c r="AJ81" s="1900"/>
      <c r="AK81" s="190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599</v>
      </c>
      <c r="C84" s="1890"/>
      <c r="D84" s="581" t="s">
        <v>1426</v>
      </c>
      <c r="E84" s="1901" t="s">
        <v>1436</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0.37951807228915663</v>
      </c>
      <c r="F87" s="1885"/>
      <c r="G87" s="1885"/>
      <c r="H87" s="1885"/>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0.21999999999999997</v>
      </c>
      <c r="F88" s="1887"/>
      <c r="G88" s="1887"/>
      <c r="H88" s="1887"/>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20</v>
      </c>
      <c r="F89" s="1915"/>
      <c r="G89" s="1915"/>
      <c r="H89" s="19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553</v>
      </c>
      <c r="C92" s="1890"/>
      <c r="D92" s="581" t="s">
        <v>1428</v>
      </c>
      <c r="E92" s="1901" t="s">
        <v>1915</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0.37951807228915663</v>
      </c>
      <c r="F97" s="1885"/>
      <c r="G97" s="1885"/>
      <c r="H97" s="1885"/>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0.60240963855421692</v>
      </c>
      <c r="F98" s="1885"/>
      <c r="G98" s="1885"/>
      <c r="H98" s="1885"/>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0.39759036144578314</v>
      </c>
      <c r="F99" s="1885"/>
      <c r="G99" s="1885"/>
      <c r="H99" s="1885"/>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1425</v>
      </c>
      <c r="AF106" s="1900"/>
      <c r="AG106" s="1900"/>
      <c r="AH106" s="1900"/>
      <c r="AI106" s="1900"/>
      <c r="AJ106" s="1900"/>
      <c r="AK106" s="1900"/>
      <c r="AL106" s="574"/>
      <c r="AM106" s="574"/>
      <c r="AN106" s="569"/>
      <c r="AO106" s="570" t="str">
        <f>Application!B718</f>
        <v>1 Bedroom</v>
      </c>
      <c r="AQ106" s="570">
        <f>Application!O718</f>
        <v>466</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550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627</v>
      </c>
    </row>
    <row r="109" spans="1:49" s="570" customFormat="1" ht="12.75" customHeight="1">
      <c r="A109" s="574"/>
      <c r="B109" s="1890" t="s">
        <v>553</v>
      </c>
      <c r="C109" s="1890"/>
      <c r="D109" s="581" t="s">
        <v>1426</v>
      </c>
      <c r="E109" s="1901" t="s">
        <v>2049</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969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3 Bedrooms</v>
      </c>
      <c r="AQ111" s="570">
        <f>Application!O723</f>
        <v>1111</v>
      </c>
      <c r="AU111" s="890" t="str">
        <f>J118</f>
        <v>1-bedroom</v>
      </c>
      <c r="AV111" s="570">
        <f t="array" ref="AV111">SUM(IF(Application!B718:F752="1 Bedroom",Application!G718:J752))</f>
        <v>16</v>
      </c>
      <c r="AW111" s="1046">
        <f>AV111/AV116</f>
        <v>0.19277108433734941</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3 Bedrooms</v>
      </c>
      <c r="AQ112" s="570">
        <f>Application!O724</f>
        <v>1111</v>
      </c>
      <c r="AU112" s="890" t="str">
        <f>O118</f>
        <v>2-bedroom</v>
      </c>
      <c r="AV112" s="570">
        <f t="array" ref="AV112">SUM(IF(Application!B718:F752="2 Bedrooms",Application!G718:J752))</f>
        <v>39</v>
      </c>
      <c r="AW112" s="1046">
        <f>AV112/AV116</f>
        <v>0.46987951807228917</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f>Application!B725</f>
        <v>0</v>
      </c>
      <c r="AQ113" s="570">
        <f>Application!O725</f>
        <v>0</v>
      </c>
      <c r="AU113" s="890" t="str">
        <f>T118</f>
        <v>3-bedroom</v>
      </c>
      <c r="AV113" s="570">
        <f t="array" ref="AV113">SUM(IF(Application!B718:F752="3 Bedrooms",Application!G718:J752))</f>
        <v>28</v>
      </c>
      <c r="AW113" s="1046">
        <f>AV113/AV116</f>
        <v>0.33734939759036142</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83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1700</v>
      </c>
      <c r="F118" s="1885"/>
      <c r="G118" s="1885"/>
      <c r="H118" s="1885"/>
      <c r="I118" s="611"/>
      <c r="J118" s="1885" t="s">
        <v>1744</v>
      </c>
      <c r="K118" s="1885"/>
      <c r="L118" s="1885"/>
      <c r="M118" s="1885"/>
      <c r="N118" s="611"/>
      <c r="O118" s="1885" t="s">
        <v>1745</v>
      </c>
      <c r="P118" s="1885"/>
      <c r="Q118" s="1885"/>
      <c r="R118" s="1885"/>
      <c r="S118" s="611"/>
      <c r="T118" s="1885" t="s">
        <v>1445</v>
      </c>
      <c r="U118" s="1885"/>
      <c r="V118" s="1885"/>
      <c r="W118" s="1885"/>
      <c r="X118" s="611"/>
      <c r="Y118" s="1885" t="s">
        <v>1746</v>
      </c>
      <c r="Z118" s="1885"/>
      <c r="AA118" s="1885"/>
      <c r="AB118" s="1885"/>
      <c r="AC118" s="611"/>
      <c r="AD118" s="1885" t="s">
        <v>1747</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1640</v>
      </c>
      <c r="K121" s="1942"/>
      <c r="L121" s="1942"/>
      <c r="M121" s="1942"/>
      <c r="N121" s="898"/>
      <c r="O121" s="1942">
        <v>1974</v>
      </c>
      <c r="P121" s="1942"/>
      <c r="Q121" s="1942"/>
      <c r="R121" s="1942"/>
      <c r="S121" s="898"/>
      <c r="T121" s="1942">
        <v>2284</v>
      </c>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466</v>
      </c>
      <c r="K124" s="1935"/>
      <c r="L124" s="1935"/>
      <c r="M124" s="1935"/>
      <c r="N124" s="898"/>
      <c r="O124" s="1935">
        <f>Application!EH670</f>
        <v>646.69230769230774</v>
      </c>
      <c r="P124" s="1935"/>
      <c r="Q124" s="1935"/>
      <c r="R124" s="1935"/>
      <c r="S124" s="902"/>
      <c r="T124" s="1935">
        <f>Application!EM670</f>
        <v>1041.8571428571427</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7"/>
      <c r="G127" s="1887"/>
      <c r="H127" s="2132"/>
      <c r="I127" s="611"/>
      <c r="J127" s="2131">
        <f>(J121-J124)/J121</f>
        <v>0.71585365853658534</v>
      </c>
      <c r="K127" s="1887"/>
      <c r="L127" s="1887"/>
      <c r="M127" s="2132"/>
      <c r="N127" s="611"/>
      <c r="O127" s="2131">
        <f>(O121-O124)/O121</f>
        <v>0.67239498090561922</v>
      </c>
      <c r="P127" s="1887"/>
      <c r="Q127" s="1887"/>
      <c r="R127" s="2132"/>
      <c r="S127" s="611"/>
      <c r="T127" s="2131">
        <f>(T121-T124)/T121</f>
        <v>0.54384538403802862</v>
      </c>
      <c r="U127" s="1887"/>
      <c r="V127" s="1887"/>
      <c r="W127" s="2132"/>
      <c r="X127" s="611"/>
      <c r="Y127" s="2131" t="e">
        <f>(Y121-Y124)/Y121</f>
        <v>#DIV/0!</v>
      </c>
      <c r="Z127" s="1887"/>
      <c r="AA127" s="1887"/>
      <c r="AB127" s="2132"/>
      <c r="AC127" s="611"/>
      <c r="AD127" s="2131" t="e">
        <f>(AD121-AD124)/AD121</f>
        <v>#DIV/0!</v>
      </c>
      <c r="AE127" s="1887"/>
      <c r="AF127" s="1887"/>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0.11871877754922128</v>
      </c>
      <c r="K130" s="1937"/>
      <c r="L130" s="1937"/>
      <c r="M130" s="1938"/>
      <c r="N130" s="611"/>
      <c r="O130" s="1936">
        <f>IF(((O127-0.1)*AW112)&gt;0,((O127-0.1)*AW112),0)</f>
        <v>0.26895667777492954</v>
      </c>
      <c r="P130" s="1937"/>
      <c r="Q130" s="1937"/>
      <c r="R130" s="1938"/>
      <c r="S130" s="611"/>
      <c r="T130" s="1936">
        <f>IF(((T127-0.1)*AW113)&gt;0,((T127-0.1)*AW113),0)</f>
        <v>0.14973097292849158</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0.53</v>
      </c>
      <c r="F132" s="1887"/>
      <c r="G132" s="1887"/>
      <c r="H132" s="213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0" t="s">
        <v>1425</v>
      </c>
      <c r="AF140" s="1900"/>
      <c r="AG140" s="1900"/>
      <c r="AH140" s="1900"/>
      <c r="AI140" s="1900"/>
      <c r="AJ140" s="1900"/>
      <c r="AK140" s="1900"/>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1449</v>
      </c>
      <c r="AG142" s="1932"/>
      <c r="AH142" s="1932"/>
      <c r="AI142" s="1932"/>
      <c r="AJ142" s="1932"/>
      <c r="AK142" s="1932"/>
      <c r="AL142" s="193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2641</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58" t="s">
        <v>1452</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1452</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59" t="s">
        <v>599</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58" t="s">
        <v>1454</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1463</v>
      </c>
      <c r="AG157" s="1932"/>
      <c r="AH157" s="1932"/>
      <c r="AI157" s="1932"/>
      <c r="AJ157" s="1932"/>
      <c r="AK157" s="1932"/>
      <c r="AL157" s="193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1461</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599</v>
      </c>
      <c r="AG161" s="195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58" t="s">
        <v>1454</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3" t="s">
        <v>2641</v>
      </c>
      <c r="D167" s="1933"/>
      <c r="E167" s="1933"/>
      <c r="F167" s="1933"/>
      <c r="G167" s="1933"/>
      <c r="H167" s="1933"/>
      <c r="I167" s="1933"/>
      <c r="J167" s="1933"/>
      <c r="K167" s="1933"/>
      <c r="L167" s="1933"/>
      <c r="M167" s="1933"/>
      <c r="N167" s="1933"/>
      <c r="O167" s="1933"/>
      <c r="P167" s="1933"/>
      <c r="Q167" s="1933"/>
      <c r="R167" s="1933"/>
      <c r="S167" s="1933"/>
      <c r="T167" s="1933"/>
      <c r="U167" s="1933"/>
      <c r="V167" s="1933"/>
      <c r="W167" s="1933"/>
      <c r="X167" s="1933"/>
      <c r="Y167" s="1933"/>
      <c r="Z167" s="1933"/>
      <c r="AA167" s="1933"/>
      <c r="AB167" s="1933"/>
      <c r="AC167" s="1933"/>
      <c r="AD167" s="1933"/>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1425</v>
      </c>
      <c r="AF175" s="1900"/>
      <c r="AG175" s="1900"/>
      <c r="AH175" s="1900"/>
      <c r="AI175" s="1900"/>
      <c r="AJ175" s="1900"/>
      <c r="AK175" s="190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56" t="s">
        <v>1065</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1474</v>
      </c>
      <c r="AG177" s="1932"/>
      <c r="AH177" s="1932"/>
      <c r="AI177" s="1932"/>
      <c r="AJ177" s="1932"/>
      <c r="AK177" s="1932"/>
      <c r="AL177" s="1932"/>
      <c r="AN177" s="631"/>
      <c r="AP177" s="584" t="s">
        <v>1067</v>
      </c>
      <c r="AQ177" s="584">
        <v>10</v>
      </c>
    </row>
    <row r="178" spans="1:45" s="584" customFormat="1" ht="12.75" customHeight="1">
      <c r="A178" s="570"/>
      <c r="B178" s="1957" t="s">
        <v>1916</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5">
        <f>IF(AK78&gt;0,VLOOKUP($B$177,AP174:AQ180,2,FALSE),0)</f>
        <v>10</v>
      </c>
      <c r="AL180" s="1966"/>
      <c r="AM180" s="1967"/>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1483</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2564</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11274429</v>
      </c>
      <c r="AE188" s="1945"/>
      <c r="AF188" s="1945"/>
      <c r="AG188" s="1945"/>
      <c r="AH188" s="1945"/>
      <c r="AI188" s="1945"/>
      <c r="AJ188" s="1945"/>
      <c r="AK188" s="644"/>
    </row>
    <row r="189" spans="1:45">
      <c r="A189" s="639"/>
      <c r="B189" s="1944" t="s">
        <v>2792</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v>1022368</v>
      </c>
      <c r="AE189" s="1945"/>
      <c r="AF189" s="1945"/>
      <c r="AG189" s="1945"/>
      <c r="AH189" s="1945"/>
      <c r="AI189" s="1945"/>
      <c r="AJ189" s="1945"/>
      <c r="AK189" s="644"/>
    </row>
    <row r="190" spans="1:45">
      <c r="A190" s="639"/>
      <c r="B190" s="1944" t="s">
        <v>2743</v>
      </c>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v>3000000</v>
      </c>
      <c r="AE190" s="1945"/>
      <c r="AF190" s="1945"/>
      <c r="AG190" s="1945"/>
      <c r="AH190" s="1945"/>
      <c r="AI190" s="1945"/>
      <c r="AJ190" s="1945"/>
      <c r="AK190" s="644"/>
    </row>
    <row r="191" spans="1:45">
      <c r="A191" s="639"/>
      <c r="B191" s="1944" t="s">
        <v>2764</v>
      </c>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v>450000</v>
      </c>
      <c r="AE191" s="1945"/>
      <c r="AF191" s="1945"/>
      <c r="AG191" s="1945"/>
      <c r="AH191" s="1945"/>
      <c r="AI191" s="1945"/>
      <c r="AJ191" s="1945"/>
      <c r="AK191" s="644"/>
    </row>
    <row r="192" spans="1:45">
      <c r="A192" s="639"/>
      <c r="B192" s="1944" t="s">
        <v>2745</v>
      </c>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v>219892</v>
      </c>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097" t="s">
        <v>1739</v>
      </c>
      <c r="C198" s="2097"/>
      <c r="D198" s="2097"/>
      <c r="E198" s="2097"/>
      <c r="F198" s="2097"/>
      <c r="G198" s="2097"/>
      <c r="H198" s="2097"/>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570"/>
      <c r="AD198" s="1972">
        <f>AB249</f>
        <v>15534306.742901634</v>
      </c>
      <c r="AE198" s="1972"/>
      <c r="AF198" s="1972"/>
      <c r="AG198" s="1972"/>
      <c r="AH198" s="1972"/>
      <c r="AI198" s="1972"/>
      <c r="AJ198" s="1972"/>
      <c r="AK198" s="644"/>
    </row>
    <row r="199" spans="1:37">
      <c r="A199" s="639"/>
      <c r="B199" s="2100" t="s">
        <v>1702</v>
      </c>
      <c r="C199" s="2100"/>
      <c r="D199" s="2100"/>
      <c r="E199" s="2100"/>
      <c r="F199" s="2100"/>
      <c r="G199" s="2100"/>
      <c r="H199" s="2100"/>
      <c r="I199" s="2100"/>
      <c r="J199" s="2100"/>
      <c r="K199" s="2100"/>
      <c r="L199" s="2100"/>
      <c r="M199" s="2100"/>
      <c r="N199" s="2100"/>
      <c r="O199" s="2100"/>
      <c r="P199" s="2100"/>
      <c r="Q199" s="2100"/>
      <c r="R199" s="2100"/>
      <c r="S199" s="2100"/>
      <c r="T199" s="2100"/>
      <c r="U199" s="2100"/>
      <c r="V199" s="2100"/>
      <c r="W199" s="2100"/>
      <c r="X199" s="2100"/>
      <c r="Y199" s="2100"/>
      <c r="Z199" s="2100"/>
      <c r="AA199" s="2100"/>
      <c r="AB199" s="2100"/>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7">
        <f>SUM(AD188:AJ198)-AD199</f>
        <v>31500995.742901634</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1719</v>
      </c>
      <c r="J211" s="1948"/>
      <c r="K211" s="1948"/>
      <c r="L211" s="570"/>
      <c r="M211" s="570"/>
      <c r="N211" s="570"/>
      <c r="O211" s="570"/>
      <c r="P211" s="570"/>
      <c r="Q211" s="570"/>
      <c r="R211" s="570"/>
      <c r="S211" s="570"/>
      <c r="T211" s="2134" t="s">
        <v>1713</v>
      </c>
      <c r="U211" s="2134"/>
      <c r="V211" s="2134"/>
      <c r="W211" s="2134"/>
      <c r="X211" s="2134"/>
      <c r="Y211" s="2134"/>
      <c r="Z211" s="883"/>
      <c r="AA211" s="523"/>
      <c r="AB211" s="1943" t="s">
        <v>1714</v>
      </c>
      <c r="AC211" s="1943"/>
      <c r="AD211" s="1943"/>
      <c r="AE211" s="1943"/>
      <c r="AF211" s="1943"/>
      <c r="AG211" s="1943"/>
      <c r="AH211" s="861"/>
      <c r="AI211" s="861"/>
      <c r="AJ211" s="861"/>
      <c r="AK211" s="644"/>
    </row>
    <row r="212" spans="1:37">
      <c r="A212" s="639"/>
      <c r="B212" s="1946" t="s">
        <v>1699</v>
      </c>
      <c r="C212" s="1946"/>
      <c r="D212" s="1946"/>
      <c r="E212" s="1946"/>
      <c r="F212" s="1946"/>
      <c r="G212" s="1946"/>
      <c r="I212" s="1947" t="s">
        <v>1720</v>
      </c>
      <c r="J212" s="1947"/>
      <c r="K212" s="1947"/>
      <c r="L212" s="1043"/>
      <c r="N212" s="1953" t="s">
        <v>1715</v>
      </c>
      <c r="O212" s="1953"/>
      <c r="P212" s="1953"/>
      <c r="Q212" s="1953"/>
      <c r="R212" s="1953"/>
      <c r="T212" s="1953" t="s">
        <v>1716</v>
      </c>
      <c r="U212" s="1953"/>
      <c r="V212" s="1953"/>
      <c r="W212" s="1953"/>
      <c r="X212" s="1953"/>
      <c r="Y212" s="1953"/>
      <c r="Z212" s="884"/>
      <c r="AA212" s="523"/>
      <c r="AB212" s="2098" t="s">
        <v>1717</v>
      </c>
      <c r="AC212" s="2098"/>
      <c r="AD212" s="2098"/>
      <c r="AE212" s="2098"/>
      <c r="AF212" s="2098"/>
      <c r="AG212" s="2098"/>
      <c r="AH212" s="861"/>
      <c r="AI212" s="861"/>
      <c r="AJ212" s="861"/>
      <c r="AK212" s="644"/>
    </row>
    <row r="213" spans="1:37">
      <c r="A213" s="639"/>
      <c r="B213" s="1950" t="s">
        <v>2789</v>
      </c>
      <c r="C213" s="1950"/>
      <c r="D213" s="1950"/>
      <c r="E213" s="1950"/>
      <c r="F213" s="1950"/>
      <c r="G213" s="1950"/>
      <c r="H213" s="886"/>
      <c r="I213" s="1949">
        <v>16</v>
      </c>
      <c r="J213" s="1949"/>
      <c r="K213" s="1949"/>
      <c r="L213" s="1043"/>
      <c r="N213" s="1954">
        <f>1748*30%</f>
        <v>524.4</v>
      </c>
      <c r="O213" s="1954"/>
      <c r="P213" s="1954"/>
      <c r="Q213" s="1954"/>
      <c r="R213" s="1954"/>
      <c r="T213" s="2101">
        <v>1265</v>
      </c>
      <c r="U213" s="2101"/>
      <c r="V213" s="2101"/>
      <c r="W213" s="2101"/>
      <c r="X213" s="2101"/>
      <c r="Y213" s="2101"/>
      <c r="Z213" s="885"/>
      <c r="AA213" s="885"/>
      <c r="AB213" s="1951">
        <f t="shared" ref="AB213:AB222" si="0">MAX(($T213-$N213)*$I213*12,0)</f>
        <v>142195.20000000001</v>
      </c>
      <c r="AC213" s="1951"/>
      <c r="AD213" s="1951"/>
      <c r="AE213" s="1951"/>
      <c r="AF213" s="1951"/>
      <c r="AG213" s="1951"/>
      <c r="AH213" s="861"/>
      <c r="AI213" s="861"/>
      <c r="AJ213" s="861"/>
      <c r="AK213" s="644"/>
    </row>
    <row r="214" spans="1:37">
      <c r="A214" s="639"/>
      <c r="B214" s="1950" t="s">
        <v>2790</v>
      </c>
      <c r="C214" s="1950"/>
      <c r="D214" s="1950"/>
      <c r="E214" s="1950"/>
      <c r="F214" s="1950"/>
      <c r="G214" s="1950"/>
      <c r="I214" s="1949">
        <v>30</v>
      </c>
      <c r="J214" s="1949"/>
      <c r="K214" s="1949"/>
      <c r="L214" s="1043"/>
      <c r="N214" s="1954">
        <f>2096*30%</f>
        <v>628.79999999999995</v>
      </c>
      <c r="O214" s="1954"/>
      <c r="P214" s="1954"/>
      <c r="Q214" s="1954"/>
      <c r="R214" s="1954"/>
      <c r="T214" s="2101">
        <v>1659</v>
      </c>
      <c r="U214" s="2101"/>
      <c r="V214" s="2101"/>
      <c r="W214" s="2101"/>
      <c r="X214" s="2101"/>
      <c r="Y214" s="2101"/>
      <c r="Z214" s="885"/>
      <c r="AA214" s="885"/>
      <c r="AB214" s="1951">
        <f t="shared" si="0"/>
        <v>370872</v>
      </c>
      <c r="AC214" s="1951"/>
      <c r="AD214" s="1951"/>
      <c r="AE214" s="1951"/>
      <c r="AF214" s="1951"/>
      <c r="AG214" s="1951"/>
      <c r="AH214" s="861"/>
      <c r="AI214" s="861"/>
      <c r="AJ214" s="861"/>
      <c r="AK214" s="644"/>
    </row>
    <row r="215" spans="1:37">
      <c r="A215" s="639"/>
      <c r="B215" s="1950" t="s">
        <v>2791</v>
      </c>
      <c r="C215" s="1950"/>
      <c r="D215" s="1950"/>
      <c r="E215" s="1950"/>
      <c r="F215" s="1950"/>
      <c r="G215" s="1950"/>
      <c r="I215" s="1949">
        <v>4</v>
      </c>
      <c r="J215" s="1949"/>
      <c r="K215" s="1949"/>
      <c r="L215" s="1043"/>
      <c r="N215" s="1954">
        <f>2422*30%</f>
        <v>726.6</v>
      </c>
      <c r="O215" s="1954"/>
      <c r="P215" s="1954"/>
      <c r="Q215" s="1954"/>
      <c r="R215" s="1954"/>
      <c r="T215" s="2101">
        <v>2271</v>
      </c>
      <c r="U215" s="2101"/>
      <c r="V215" s="2101"/>
      <c r="W215" s="2101"/>
      <c r="X215" s="2101"/>
      <c r="Y215" s="2101"/>
      <c r="Z215" s="885"/>
      <c r="AA215" s="885"/>
      <c r="AB215" s="1951">
        <f t="shared" si="0"/>
        <v>74131.200000000012</v>
      </c>
      <c r="AC215" s="1951"/>
      <c r="AD215" s="1951"/>
      <c r="AE215" s="1951"/>
      <c r="AF215" s="1951"/>
      <c r="AG215" s="1951"/>
      <c r="AH215" s="861"/>
      <c r="AI215" s="861"/>
      <c r="AJ215" s="861"/>
      <c r="AK215" s="644"/>
    </row>
    <row r="216" spans="1:37">
      <c r="A216" s="639"/>
      <c r="B216" s="1950" t="s">
        <v>2790</v>
      </c>
      <c r="C216" s="1950"/>
      <c r="D216" s="1950"/>
      <c r="E216" s="1950"/>
      <c r="F216" s="1950"/>
      <c r="G216" s="1950"/>
      <c r="I216" s="1949">
        <v>9</v>
      </c>
      <c r="J216" s="1949"/>
      <c r="K216" s="1949"/>
      <c r="L216" s="1043"/>
      <c r="N216" s="1954">
        <f>2096*40%</f>
        <v>838.40000000000009</v>
      </c>
      <c r="O216" s="1954"/>
      <c r="P216" s="1954"/>
      <c r="Q216" s="1954"/>
      <c r="R216" s="1954"/>
      <c r="T216" s="2101">
        <v>1659</v>
      </c>
      <c r="U216" s="2101"/>
      <c r="V216" s="2101"/>
      <c r="W216" s="2101"/>
      <c r="X216" s="2101"/>
      <c r="Y216" s="2101"/>
      <c r="Z216" s="885"/>
      <c r="AA216" s="885"/>
      <c r="AB216" s="1951">
        <f t="shared" si="0"/>
        <v>88624.799999999988</v>
      </c>
      <c r="AC216" s="1951"/>
      <c r="AD216" s="1951"/>
      <c r="AE216" s="1951"/>
      <c r="AF216" s="1951"/>
      <c r="AG216" s="1951"/>
      <c r="AH216" s="861"/>
      <c r="AI216" s="861"/>
      <c r="AJ216" s="861"/>
      <c r="AK216" s="644"/>
    </row>
    <row r="217" spans="1:37">
      <c r="A217" s="639"/>
      <c r="B217" s="1950" t="s">
        <v>2791</v>
      </c>
      <c r="C217" s="1950"/>
      <c r="D217" s="1950"/>
      <c r="E217" s="1950"/>
      <c r="F217" s="1950"/>
      <c r="G217" s="1950"/>
      <c r="I217" s="1949">
        <v>12</v>
      </c>
      <c r="J217" s="1949"/>
      <c r="K217" s="1949"/>
      <c r="L217" s="1050"/>
      <c r="N217" s="1954">
        <f>2422*40%</f>
        <v>968.80000000000007</v>
      </c>
      <c r="O217" s="1954"/>
      <c r="P217" s="1954"/>
      <c r="Q217" s="1954"/>
      <c r="R217" s="1954"/>
      <c r="T217" s="2101">
        <v>2271</v>
      </c>
      <c r="U217" s="2101"/>
      <c r="V217" s="2101"/>
      <c r="W217" s="2101"/>
      <c r="X217" s="2101"/>
      <c r="Y217" s="2101"/>
      <c r="Z217" s="885"/>
      <c r="AA217" s="885"/>
      <c r="AB217" s="1951">
        <f t="shared" si="0"/>
        <v>187516.79999999999</v>
      </c>
      <c r="AC217" s="1951"/>
      <c r="AD217" s="1951"/>
      <c r="AE217" s="1951"/>
      <c r="AF217" s="1951"/>
      <c r="AG217" s="1951"/>
      <c r="AH217" s="861"/>
      <c r="AI217" s="861"/>
      <c r="AJ217" s="861"/>
      <c r="AK217" s="644"/>
    </row>
    <row r="218" spans="1:37">
      <c r="A218" s="639"/>
      <c r="B218" s="1950" t="s">
        <v>1290</v>
      </c>
      <c r="C218" s="1950"/>
      <c r="D218" s="1950"/>
      <c r="E218" s="1950"/>
      <c r="F218" s="1950"/>
      <c r="G218" s="1950"/>
      <c r="I218" s="1949"/>
      <c r="J218" s="1949"/>
      <c r="K218" s="1949"/>
      <c r="L218" s="1050"/>
      <c r="N218" s="1954"/>
      <c r="O218" s="1954"/>
      <c r="P218" s="1954"/>
      <c r="Q218" s="1954"/>
      <c r="R218" s="1954"/>
      <c r="T218" s="2101"/>
      <c r="U218" s="2101"/>
      <c r="V218" s="2101"/>
      <c r="W218" s="2101"/>
      <c r="X218" s="2101"/>
      <c r="Y218" s="2101"/>
      <c r="Z218" s="885"/>
      <c r="AA218" s="885"/>
      <c r="AB218" s="1951">
        <f t="shared" si="0"/>
        <v>0</v>
      </c>
      <c r="AC218" s="1951"/>
      <c r="AD218" s="1951"/>
      <c r="AE218" s="1951"/>
      <c r="AF218" s="1951"/>
      <c r="AG218" s="1951"/>
      <c r="AH218" s="861"/>
      <c r="AI218" s="861"/>
      <c r="AJ218" s="861"/>
      <c r="AK218" s="644"/>
    </row>
    <row r="219" spans="1:37">
      <c r="A219" s="639"/>
      <c r="B219" s="1950" t="s">
        <v>1290</v>
      </c>
      <c r="C219" s="1950"/>
      <c r="D219" s="1950"/>
      <c r="E219" s="1950"/>
      <c r="F219" s="1950"/>
      <c r="G219" s="1950"/>
      <c r="I219" s="1949"/>
      <c r="J219" s="1949"/>
      <c r="K219" s="1949"/>
      <c r="L219" s="1050"/>
      <c r="N219" s="1954"/>
      <c r="O219" s="1954"/>
      <c r="P219" s="1954"/>
      <c r="Q219" s="1954"/>
      <c r="R219" s="1954"/>
      <c r="T219" s="2101"/>
      <c r="U219" s="2101"/>
      <c r="V219" s="2101"/>
      <c r="W219" s="2101"/>
      <c r="X219" s="2101"/>
      <c r="Y219" s="2101"/>
      <c r="Z219" s="885"/>
      <c r="AA219" s="885"/>
      <c r="AB219" s="1951">
        <f t="shared" si="0"/>
        <v>0</v>
      </c>
      <c r="AC219" s="1951"/>
      <c r="AD219" s="1951"/>
      <c r="AE219" s="1951"/>
      <c r="AF219" s="1951"/>
      <c r="AG219" s="1951"/>
      <c r="AH219" s="861"/>
      <c r="AI219" s="861"/>
      <c r="AJ219" s="861"/>
      <c r="AK219" s="644"/>
    </row>
    <row r="220" spans="1:37">
      <c r="A220" s="639"/>
      <c r="B220" s="1950" t="s">
        <v>1290</v>
      </c>
      <c r="C220" s="1950"/>
      <c r="D220" s="1950"/>
      <c r="E220" s="1950"/>
      <c r="F220" s="1950"/>
      <c r="G220" s="1950"/>
      <c r="I220" s="1949"/>
      <c r="J220" s="1949"/>
      <c r="K220" s="1949"/>
      <c r="L220" s="1050"/>
      <c r="N220" s="1954"/>
      <c r="O220" s="1954"/>
      <c r="P220" s="1954"/>
      <c r="Q220" s="1954"/>
      <c r="R220" s="1954"/>
      <c r="T220" s="2101"/>
      <c r="U220" s="2101"/>
      <c r="V220" s="2101"/>
      <c r="W220" s="2101"/>
      <c r="X220" s="2101"/>
      <c r="Y220" s="2101"/>
      <c r="Z220" s="885"/>
      <c r="AA220" s="885"/>
      <c r="AB220" s="1951">
        <f t="shared" si="0"/>
        <v>0</v>
      </c>
      <c r="AC220" s="1951"/>
      <c r="AD220" s="1951"/>
      <c r="AE220" s="1951"/>
      <c r="AF220" s="1951"/>
      <c r="AG220" s="1951"/>
      <c r="AH220" s="861"/>
      <c r="AI220" s="861"/>
      <c r="AJ220" s="861"/>
      <c r="AK220" s="644"/>
    </row>
    <row r="221" spans="1:37">
      <c r="A221" s="639"/>
      <c r="B221" s="1950" t="s">
        <v>1290</v>
      </c>
      <c r="C221" s="1950"/>
      <c r="D221" s="1950"/>
      <c r="E221" s="1950"/>
      <c r="F221" s="1950"/>
      <c r="G221" s="1950"/>
      <c r="I221" s="1949"/>
      <c r="J221" s="1949"/>
      <c r="K221" s="1949"/>
      <c r="L221" s="1050"/>
      <c r="N221" s="1954"/>
      <c r="O221" s="1954"/>
      <c r="P221" s="1954"/>
      <c r="Q221" s="1954"/>
      <c r="R221" s="1954"/>
      <c r="T221" s="2101"/>
      <c r="U221" s="2101"/>
      <c r="V221" s="2101"/>
      <c r="W221" s="2101"/>
      <c r="X221" s="2101"/>
      <c r="Y221" s="2101"/>
      <c r="Z221" s="885"/>
      <c r="AA221" s="885"/>
      <c r="AB221" s="1951">
        <f t="shared" si="0"/>
        <v>0</v>
      </c>
      <c r="AC221" s="1951"/>
      <c r="AD221" s="1951"/>
      <c r="AE221" s="1951"/>
      <c r="AF221" s="1951"/>
      <c r="AG221" s="1951"/>
      <c r="AH221" s="861"/>
      <c r="AI221" s="861"/>
      <c r="AJ221" s="861"/>
      <c r="AK221" s="644"/>
    </row>
    <row r="222" spans="1:37">
      <c r="A222" s="639"/>
      <c r="B222" s="1950" t="s">
        <v>1290</v>
      </c>
      <c r="C222" s="1950"/>
      <c r="D222" s="1950"/>
      <c r="E222" s="1950"/>
      <c r="F222" s="1950"/>
      <c r="G222" s="1950"/>
      <c r="I222" s="1952"/>
      <c r="J222" s="1952"/>
      <c r="K222" s="1952"/>
      <c r="L222" s="1050"/>
      <c r="N222" s="1954"/>
      <c r="O222" s="1954"/>
      <c r="P222" s="1954"/>
      <c r="Q222" s="1954"/>
      <c r="R222" s="1954"/>
      <c r="T222" s="2101"/>
      <c r="U222" s="2101"/>
      <c r="V222" s="2101"/>
      <c r="W222" s="2101"/>
      <c r="X222" s="2101"/>
      <c r="Y222" s="2101"/>
      <c r="Z222" s="885"/>
      <c r="AA222" s="885"/>
      <c r="AB222" s="2099">
        <f t="shared" si="0"/>
        <v>0</v>
      </c>
      <c r="AC222" s="2099"/>
      <c r="AD222" s="2099"/>
      <c r="AE222" s="2099"/>
      <c r="AF222" s="2099"/>
      <c r="AG222" s="209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1">
        <f>SUM(AB213:AB222)</f>
        <v>863340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2">
        <f>Application!M959+Application!AE959</f>
        <v>805812</v>
      </c>
      <c r="AC229" s="2102"/>
      <c r="AD229" s="2102"/>
      <c r="AE229" s="2102"/>
      <c r="AF229" s="2102"/>
      <c r="AG229" s="210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2"/>
      <c r="AC232" s="2102"/>
      <c r="AD232" s="2102"/>
      <c r="AE232" s="2102"/>
      <c r="AF232" s="2102"/>
      <c r="AG232" s="210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099">
        <f>MAX(AB229,AB234)</f>
        <v>805812</v>
      </c>
      <c r="AC236" s="2099"/>
      <c r="AD236" s="2099"/>
      <c r="AE236" s="2099"/>
      <c r="AF236" s="2099"/>
      <c r="AG236" s="209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1669152</v>
      </c>
      <c r="AC239" s="1951"/>
      <c r="AD239" s="1951"/>
      <c r="AE239" s="1951"/>
      <c r="AF239" s="1951"/>
      <c r="AG239" s="195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1585694.4</v>
      </c>
      <c r="AC241" s="1982"/>
      <c r="AD241" s="1982"/>
      <c r="AE241" s="1982"/>
      <c r="AF241" s="1982"/>
      <c r="AG241" s="1982"/>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1378864.6956521738</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15534306.742901634</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31500995.742901634</v>
      </c>
      <c r="AH257" s="1968"/>
      <c r="AI257" s="1968"/>
      <c r="AJ257" s="1968"/>
      <c r="AK257" s="196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61613323</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0.51</v>
      </c>
      <c r="AH259" s="1969"/>
      <c r="AI259" s="1969"/>
      <c r="AJ259" s="1969"/>
      <c r="AK259" s="196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62" t="s">
        <v>553</v>
      </c>
      <c r="D267" s="1962"/>
      <c r="E267" s="581"/>
      <c r="F267" s="2119" t="s">
        <v>2339</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1474</v>
      </c>
      <c r="AH267" s="1963"/>
      <c r="AI267" s="1963"/>
      <c r="AJ267" s="1963"/>
      <c r="AK267" s="584"/>
      <c r="AL267" s="584"/>
      <c r="AM267" s="584"/>
      <c r="AO267" s="584"/>
    </row>
    <row r="268" spans="1:52" ht="13.9"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9"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1493</v>
      </c>
      <c r="B281" s="1664"/>
      <c r="C281" s="1959" t="s">
        <v>599</v>
      </c>
      <c r="D281" s="1962"/>
      <c r="E281" s="581"/>
      <c r="F281" s="1990" t="s">
        <v>1494</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2332</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4" t="s">
        <v>2340</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1495</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1496</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1497</v>
      </c>
      <c r="B291" s="1664"/>
      <c r="C291" s="1962" t="s">
        <v>553</v>
      </c>
      <c r="D291" s="1962"/>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897" t="s">
        <v>2334</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1500</v>
      </c>
      <c r="B299" s="1664"/>
      <c r="C299" s="1962" t="s">
        <v>599</v>
      </c>
      <c r="D299" s="1962"/>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4" t="s">
        <v>2341</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1290</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1290</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0" t="s">
        <v>1290</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0" t="s">
        <v>1290</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4" t="s">
        <v>1503</v>
      </c>
      <c r="B322" s="1664"/>
      <c r="C322" s="1962" t="s">
        <v>599</v>
      </c>
      <c r="D322" s="1962"/>
      <c r="E322" s="581"/>
      <c r="F322" s="1891" t="s">
        <v>2342</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5">
        <f>IF(NOT(OR(Application!M355="Yes",Application!M356="Yes")),0,AP284)</f>
        <v>9</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0" t="s">
        <v>1425</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1565</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2409</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2573</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1566</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6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5</v>
      </c>
      <c r="AS346" s="573" t="s">
        <v>1567</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1568</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7.5</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589</v>
      </c>
      <c r="AP350" s="730">
        <f>IF(C396="Yes",5,0)</f>
        <v>0</v>
      </c>
      <c r="AS350" s="573" t="s">
        <v>2070</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5</v>
      </c>
    </row>
    <row r="354" spans="1:81" s="584" customFormat="1" ht="11.6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04" t="s">
        <v>1570</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464</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469</v>
      </c>
      <c r="AP359" s="730">
        <f>IF(C438="Yes",5,0)</f>
        <v>0</v>
      </c>
    </row>
    <row r="360" spans="1:81" s="584" customFormat="1" ht="67.900000000000006"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3">
        <f>Application!CS660-U363</f>
        <v>178</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14">
        <f>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5</v>
      </c>
      <c r="AQ364" s="2027">
        <f>IF(AP364&gt;0,AP364,0)</f>
        <v>5</v>
      </c>
      <c r="AR364" s="2027"/>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08" t="s">
        <v>1572</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553</v>
      </c>
      <c r="D370" s="1962"/>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1574</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08" t="s">
        <v>1575</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599</v>
      </c>
      <c r="D378" s="1962"/>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1574</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08" t="s">
        <v>1577</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599</v>
      </c>
      <c r="D386" s="1962"/>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1579</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599</v>
      </c>
      <c r="D388" s="1962"/>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1574</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08" t="s">
        <v>1583</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599</v>
      </c>
      <c r="D396" s="1962"/>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1574</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599</v>
      </c>
      <c r="D398" s="1962"/>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1586</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599</v>
      </c>
      <c r="D401" s="1962"/>
      <c r="E401" s="749" t="s">
        <v>1587</v>
      </c>
      <c r="F401" s="2008" t="s">
        <v>1588</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2" t="s">
        <v>1574</v>
      </c>
      <c r="AG402" s="1932"/>
      <c r="AH402" s="1932"/>
      <c r="AI402" s="1932"/>
      <c r="AJ402" s="1932"/>
      <c r="AK402" s="1932"/>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08" t="s">
        <v>1590</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553</v>
      </c>
      <c r="D410" s="1962"/>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1574</v>
      </c>
      <c r="AG410" s="1932"/>
      <c r="AH410" s="1932"/>
      <c r="AI410" s="1932"/>
      <c r="AJ410" s="1932"/>
      <c r="AK410" s="1932"/>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599</v>
      </c>
      <c r="D412" s="1962"/>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1586</v>
      </c>
      <c r="AG412" s="1932"/>
      <c r="AH412" s="1932"/>
      <c r="AI412" s="1932"/>
      <c r="AJ412" s="1932"/>
      <c r="AK412" s="1932"/>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08" t="s">
        <v>1594</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553</v>
      </c>
      <c r="D419" s="1962"/>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1574</v>
      </c>
      <c r="AG419" s="1932"/>
      <c r="AH419" s="1932"/>
      <c r="AI419" s="1932"/>
      <c r="AJ419" s="1932"/>
      <c r="AK419" s="1932"/>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08" t="s">
        <v>1597</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599</v>
      </c>
      <c r="D431" s="1962"/>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1574</v>
      </c>
      <c r="AG431" s="1932"/>
      <c r="AH431" s="1932"/>
      <c r="AI431" s="1932"/>
      <c r="AJ431" s="1932"/>
      <c r="AK431" s="1932"/>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08" t="s">
        <v>1600</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599</v>
      </c>
      <c r="D438" s="1962"/>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1574</v>
      </c>
      <c r="AG438" s="1932"/>
      <c r="AH438" s="1932"/>
      <c r="AI438" s="1932"/>
      <c r="AJ438" s="1932"/>
      <c r="AK438" s="1932"/>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599</v>
      </c>
      <c r="D442" s="2012"/>
      <c r="E442" s="749" t="s">
        <v>1609</v>
      </c>
      <c r="F442" s="2008" t="s">
        <v>1610</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33" t="s">
        <v>1574</v>
      </c>
      <c r="AG442" s="2033"/>
      <c r="AH442" s="2033"/>
      <c r="AI442" s="2033"/>
      <c r="AJ442" s="2033"/>
      <c r="AK442" s="2033"/>
      <c r="AL442" s="2034"/>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599</v>
      </c>
      <c r="D446" s="1962"/>
      <c r="E446" s="749" t="s">
        <v>1615</v>
      </c>
      <c r="F446" s="2008" t="s">
        <v>1616</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33" t="s">
        <v>1574</v>
      </c>
      <c r="AG446" s="2033"/>
      <c r="AH446" s="2033"/>
      <c r="AI446" s="2033"/>
      <c r="AJ446" s="2033"/>
      <c r="AK446" s="2033"/>
      <c r="AL446" s="2034"/>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08" t="s">
        <v>1619</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599</v>
      </c>
      <c r="D455" s="1962"/>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1574</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06" t="s">
        <v>1623</v>
      </c>
      <c r="AF461" s="2006"/>
      <c r="AG461" s="2006"/>
      <c r="AH461" s="2006"/>
      <c r="AI461" s="2006"/>
      <c r="AJ461" s="2006"/>
      <c r="AK461" s="200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29" t="s">
        <v>599</v>
      </c>
      <c r="D467" s="2030"/>
      <c r="E467" s="795" t="s">
        <v>515</v>
      </c>
      <c r="F467" s="2031" t="s">
        <v>1629</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108" t="s">
        <v>599</v>
      </c>
      <c r="G469" s="2108"/>
      <c r="H469" s="2108"/>
      <c r="I469" s="2108"/>
      <c r="J469" s="2108"/>
      <c r="K469" s="2108"/>
      <c r="L469" s="2108"/>
      <c r="M469" s="2108"/>
      <c r="N469" s="2108"/>
      <c r="O469" s="2108"/>
      <c r="P469" s="2108"/>
      <c r="Q469" s="2108"/>
      <c r="R469" s="2108"/>
      <c r="S469" s="2108"/>
      <c r="T469" s="2108"/>
      <c r="U469" s="2108"/>
      <c r="V469" s="2108"/>
      <c r="W469" s="2108"/>
      <c r="X469" s="2108"/>
      <c r="Y469" s="2108"/>
      <c r="Z469" s="210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109" t="s">
        <v>553</v>
      </c>
      <c r="D471" s="211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107" t="s">
        <v>599</v>
      </c>
      <c r="W474" s="2107"/>
      <c r="X474" s="2107"/>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107" t="s">
        <v>599</v>
      </c>
      <c r="W476" s="2107"/>
      <c r="X476" s="2107"/>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107" t="s">
        <v>599</v>
      </c>
      <c r="W481" s="2107"/>
      <c r="X481" s="2107"/>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2"/>
      <c r="E484" s="204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107" t="s">
        <v>599</v>
      </c>
      <c r="W485" s="2107"/>
      <c r="X485" s="2107"/>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107" t="s">
        <v>599</v>
      </c>
      <c r="W487" s="2107"/>
      <c r="X487" s="2107"/>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9" t="s">
        <v>599</v>
      </c>
      <c r="D490" s="2030"/>
      <c r="E490" s="795" t="s">
        <v>515</v>
      </c>
      <c r="F490" s="2031" t="s">
        <v>1629</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103" t="s">
        <v>599</v>
      </c>
      <c r="G492" s="2103"/>
      <c r="H492" s="2103"/>
      <c r="I492" s="2103"/>
      <c r="J492" s="2103"/>
      <c r="K492" s="2103"/>
      <c r="L492" s="2103"/>
      <c r="M492" s="2103"/>
      <c r="N492" s="2103"/>
      <c r="O492" s="2103"/>
      <c r="P492" s="2103"/>
      <c r="Q492" s="2103"/>
      <c r="R492" s="2103"/>
      <c r="S492" s="2103"/>
      <c r="T492" s="2103"/>
      <c r="U492" s="2103"/>
      <c r="V492" s="2103"/>
      <c r="W492" s="2103"/>
      <c r="X492" s="2103"/>
      <c r="Y492" s="2103"/>
      <c r="Z492" s="2103"/>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9" t="s">
        <v>599</v>
      </c>
      <c r="D494" s="2030"/>
      <c r="E494" s="795" t="s">
        <v>766</v>
      </c>
      <c r="F494" s="2104" t="s">
        <v>1651</v>
      </c>
      <c r="G494" s="2104"/>
      <c r="H494" s="2104"/>
      <c r="I494" s="2104"/>
      <c r="J494" s="2104"/>
      <c r="K494" s="2104"/>
      <c r="L494" s="2104"/>
      <c r="M494" s="2104"/>
      <c r="N494" s="2104"/>
      <c r="O494" s="2104"/>
      <c r="P494" s="2104"/>
      <c r="Q494" s="2104"/>
      <c r="R494" s="2104"/>
      <c r="S494" s="2104"/>
      <c r="T494" s="2104"/>
      <c r="U494" s="2104"/>
      <c r="V494" s="2104"/>
      <c r="W494" s="2104"/>
      <c r="X494" s="2104"/>
      <c r="Y494" s="2104"/>
      <c r="Z494" s="2104"/>
      <c r="AA494" s="2104"/>
      <c r="AB494" s="2104"/>
      <c r="AC494" s="2104"/>
      <c r="AD494" s="2104"/>
      <c r="AE494" s="21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105"/>
      <c r="G495" s="2105"/>
      <c r="H495" s="2105"/>
      <c r="I495" s="2105"/>
      <c r="J495" s="2105"/>
      <c r="K495" s="2105"/>
      <c r="L495" s="2105"/>
      <c r="M495" s="2105"/>
      <c r="N495" s="2105"/>
      <c r="O495" s="2105"/>
      <c r="P495" s="2105"/>
      <c r="Q495" s="2105"/>
      <c r="R495" s="2105"/>
      <c r="S495" s="2105"/>
      <c r="T495" s="2105"/>
      <c r="U495" s="2105"/>
      <c r="V495" s="2105"/>
      <c r="W495" s="2105"/>
      <c r="X495" s="2105"/>
      <c r="Y495" s="2105"/>
      <c r="Z495" s="2105"/>
      <c r="AA495" s="2105"/>
      <c r="AB495" s="2105"/>
      <c r="AC495" s="2105"/>
      <c r="AD495" s="2105"/>
      <c r="AE495" s="21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106" t="s">
        <v>599</v>
      </c>
      <c r="G497" s="2106"/>
      <c r="H497" s="21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9" t="s">
        <v>599</v>
      </c>
      <c r="D499" s="2030"/>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41"/>
      <c r="D501" s="204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43" t="s">
        <v>599</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44" t="s">
        <v>599</v>
      </c>
      <c r="D504" s="2045"/>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44" t="s">
        <v>599</v>
      </c>
      <c r="D508" s="2045"/>
      <c r="F508" s="829" t="s">
        <v>1659</v>
      </c>
      <c r="G508" s="2009" t="s">
        <v>1660</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599</v>
      </c>
      <c r="D512" s="204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1672</v>
      </c>
      <c r="AF527" s="1900"/>
      <c r="AG527" s="1900"/>
      <c r="AH527" s="1900"/>
      <c r="AI527" s="1900"/>
      <c r="AJ527" s="1900"/>
      <c r="AK527" s="190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553</v>
      </c>
      <c r="D530" s="1962"/>
      <c r="E530" s="585"/>
      <c r="F530" s="2035" t="s">
        <v>1673</v>
      </c>
      <c r="G530" s="2036"/>
      <c r="H530" s="2036"/>
      <c r="I530" s="2036"/>
      <c r="J530" s="2036"/>
      <c r="K530" s="2036"/>
      <c r="L530" s="2036"/>
      <c r="M530" s="2036"/>
      <c r="N530" s="2036"/>
      <c r="O530" s="2036"/>
      <c r="P530" s="2036"/>
      <c r="Q530" s="2036"/>
      <c r="R530" s="2036"/>
      <c r="S530" s="2036"/>
      <c r="T530" s="2036"/>
      <c r="U530" s="2036"/>
      <c r="V530" s="2036"/>
      <c r="W530" s="2036"/>
      <c r="X530" s="2036"/>
      <c r="Y530" s="2036"/>
      <c r="Z530" s="2036"/>
      <c r="AA530" s="2036"/>
      <c r="AB530" s="2036"/>
      <c r="AC530" s="2036"/>
      <c r="AD530" s="2036"/>
      <c r="AE530" s="2036"/>
      <c r="AF530" s="2036"/>
      <c r="AG530" s="2036"/>
      <c r="AH530" s="2036"/>
      <c r="AI530" s="2036"/>
      <c r="AJ530" s="2036"/>
      <c r="AK530" s="2036"/>
      <c r="AL530" s="2037"/>
      <c r="AM530" s="629"/>
      <c r="AN530" s="631"/>
    </row>
    <row r="531" spans="1:49" s="584" customFormat="1" ht="12.75" customHeight="1">
      <c r="A531" s="573"/>
      <c r="B531" s="573"/>
      <c r="C531" s="585"/>
      <c r="D531" s="585"/>
      <c r="E531" s="585"/>
      <c r="F531" s="2038"/>
      <c r="G531" s="2039"/>
      <c r="H531" s="2039"/>
      <c r="I531" s="2039"/>
      <c r="J531" s="2039"/>
      <c r="K531" s="2039"/>
      <c r="L531" s="2039"/>
      <c r="M531" s="2039"/>
      <c r="N531" s="2039"/>
      <c r="O531" s="2039"/>
      <c r="P531" s="2039"/>
      <c r="Q531" s="2039"/>
      <c r="R531" s="2039"/>
      <c r="S531" s="2039"/>
      <c r="T531" s="2039"/>
      <c r="U531" s="2039"/>
      <c r="V531" s="2039"/>
      <c r="W531" s="2039"/>
      <c r="X531" s="2039"/>
      <c r="Y531" s="2039"/>
      <c r="Z531" s="2039"/>
      <c r="AA531" s="2039"/>
      <c r="AB531" s="2039"/>
      <c r="AC531" s="2039"/>
      <c r="AD531" s="2039"/>
      <c r="AE531" s="2039"/>
      <c r="AF531" s="2039"/>
      <c r="AG531" s="2039"/>
      <c r="AH531" s="2039"/>
      <c r="AI531" s="2039"/>
      <c r="AJ531" s="2039"/>
      <c r="AK531" s="2039"/>
      <c r="AL531" s="204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599</v>
      </c>
      <c r="D533" s="1962"/>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1675</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1676</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38991904</v>
      </c>
      <c r="AQ539" s="2112"/>
      <c r="AR539" s="2112"/>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56320294</v>
      </c>
      <c r="AG540" s="1968"/>
      <c r="AH540" s="1968"/>
      <c r="AI540" s="1968"/>
      <c r="AJ540" s="196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77983808.200000003</v>
      </c>
      <c r="AG541" s="2117"/>
      <c r="AH541" s="2117"/>
      <c r="AI541" s="2117"/>
      <c r="AJ541" s="2117"/>
      <c r="AK541" s="629"/>
      <c r="AL541" s="629"/>
      <c r="AM541" s="629"/>
      <c r="AN541" s="631"/>
      <c r="AP541" s="2112">
        <f>Application!AJ1044</f>
        <v>15206842.560000001</v>
      </c>
      <c r="AQ541" s="2112"/>
      <c r="AR541" s="2112"/>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0.27</v>
      </c>
      <c r="AG542" s="2118"/>
      <c r="AH542" s="2118"/>
      <c r="AI542" s="2118"/>
      <c r="AJ542" s="2118"/>
      <c r="AK542" s="629"/>
      <c r="AL542" s="629"/>
      <c r="AM542" s="629"/>
      <c r="AN542" s="631"/>
      <c r="AP542" s="2115">
        <f>Application!AJ1048</f>
        <v>46790284.799999997</v>
      </c>
      <c r="AQ542" s="2115"/>
      <c r="AR542" s="2115"/>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2536</v>
      </c>
    </row>
    <row r="544" spans="1:49" s="584" customFormat="1" ht="12.75" customHeight="1">
      <c r="A544" s="658"/>
      <c r="B544" s="2056" t="s">
        <v>2346</v>
      </c>
      <c r="C544" s="2057"/>
      <c r="D544" s="2057"/>
      <c r="E544" s="2057"/>
      <c r="F544" s="2057"/>
      <c r="G544" s="2057"/>
      <c r="H544" s="2057"/>
      <c r="I544" s="2057"/>
      <c r="J544" s="2057"/>
      <c r="K544" s="2057"/>
      <c r="L544" s="2057"/>
      <c r="M544" s="2057"/>
      <c r="N544" s="2057"/>
      <c r="O544" s="2057"/>
      <c r="P544" s="2057"/>
      <c r="Q544" s="2057"/>
      <c r="R544" s="2057"/>
      <c r="S544" s="2057"/>
      <c r="T544" s="2057"/>
      <c r="U544" s="2057"/>
      <c r="V544" s="2057"/>
      <c r="W544" s="2057"/>
      <c r="X544" s="2057"/>
      <c r="Y544" s="2057"/>
      <c r="Z544" s="2057"/>
      <c r="AA544" s="2057"/>
      <c r="AB544" s="2057"/>
      <c r="AC544" s="2057"/>
      <c r="AD544" s="2057"/>
      <c r="AE544" s="2057"/>
      <c r="AF544" s="2057"/>
      <c r="AG544" s="2057"/>
      <c r="AH544" s="2057"/>
      <c r="AI544" s="2057"/>
      <c r="AJ544" s="2058"/>
      <c r="AK544" s="629"/>
      <c r="AL544" s="629"/>
      <c r="AM544" s="629"/>
      <c r="AN544" s="631"/>
    </row>
    <row r="545" spans="1:45" s="584" customFormat="1" ht="12.75" customHeight="1">
      <c r="A545" s="658"/>
      <c r="B545" s="2059"/>
      <c r="C545" s="2060"/>
      <c r="D545" s="2060"/>
      <c r="E545" s="2060"/>
      <c r="F545" s="2060"/>
      <c r="G545" s="2060"/>
      <c r="H545" s="2060"/>
      <c r="I545" s="2060"/>
      <c r="J545" s="2060"/>
      <c r="K545" s="2060"/>
      <c r="L545" s="2060"/>
      <c r="M545" s="2060"/>
      <c r="N545" s="2060"/>
      <c r="O545" s="2060"/>
      <c r="P545" s="2060"/>
      <c r="Q545" s="2060"/>
      <c r="R545" s="2060"/>
      <c r="S545" s="2060"/>
      <c r="T545" s="2060"/>
      <c r="U545" s="2060"/>
      <c r="V545" s="2060"/>
      <c r="W545" s="2060"/>
      <c r="X545" s="2060"/>
      <c r="Y545" s="2060"/>
      <c r="Z545" s="2060"/>
      <c r="AA545" s="2060"/>
      <c r="AB545" s="2060"/>
      <c r="AC545" s="2060"/>
      <c r="AD545" s="2060"/>
      <c r="AE545" s="2060"/>
      <c r="AF545" s="2060"/>
      <c r="AG545" s="2060"/>
      <c r="AH545" s="2060"/>
      <c r="AI545" s="2060"/>
      <c r="AJ545" s="2061"/>
      <c r="AK545" s="629"/>
      <c r="AL545" s="629"/>
      <c r="AM545" s="629"/>
      <c r="AN545" s="631"/>
      <c r="AP545" s="2112">
        <f>AP546-AP541-AP542</f>
        <v>46790285</v>
      </c>
      <c r="AQ545" s="2020"/>
      <c r="AR545" s="2020"/>
      <c r="AS545" s="584" t="s">
        <v>2538</v>
      </c>
    </row>
    <row r="546" spans="1:45" s="584" customFormat="1" ht="12.75" customHeight="1">
      <c r="A546" s="658"/>
      <c r="B546" s="2062"/>
      <c r="C546" s="2063"/>
      <c r="D546" s="2063"/>
      <c r="E546" s="2063"/>
      <c r="F546" s="2063"/>
      <c r="G546" s="2063"/>
      <c r="H546" s="2063"/>
      <c r="I546" s="2063"/>
      <c r="J546" s="2063"/>
      <c r="K546" s="2063"/>
      <c r="L546" s="2063"/>
      <c r="M546" s="2063"/>
      <c r="N546" s="2063"/>
      <c r="O546" s="2063"/>
      <c r="P546" s="2063"/>
      <c r="Q546" s="2063"/>
      <c r="R546" s="2063"/>
      <c r="S546" s="2063"/>
      <c r="T546" s="2063"/>
      <c r="U546" s="2063"/>
      <c r="V546" s="2063"/>
      <c r="W546" s="2063"/>
      <c r="X546" s="2063"/>
      <c r="Y546" s="2063"/>
      <c r="Z546" s="2063"/>
      <c r="AA546" s="2063"/>
      <c r="AB546" s="2063"/>
      <c r="AC546" s="2063"/>
      <c r="AD546" s="2063"/>
      <c r="AE546" s="2063"/>
      <c r="AF546" s="2063"/>
      <c r="AG546" s="2063"/>
      <c r="AH546" s="2063"/>
      <c r="AI546" s="2063"/>
      <c r="AJ546" s="2064"/>
      <c r="AK546" s="629"/>
      <c r="AL546" s="629"/>
      <c r="AM546" s="629"/>
      <c r="AN546" s="631"/>
      <c r="AP546" s="2112">
        <f>Application!AJ1052</f>
        <v>108787412.36</v>
      </c>
      <c r="AQ546" s="2112"/>
      <c r="AR546" s="2112"/>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65">
        <f>IFERROR(IF(AND(C530="N/A",C533="N/A"),0,IF(AF542=0,0,IF((AF542*100)&gt;12,12,(AF542*100)))),0)</f>
        <v>12</v>
      </c>
      <c r="AL548" s="2065"/>
      <c r="AM548" s="2066"/>
      <c r="AN548" s="631"/>
      <c r="AP548" s="2128">
        <f>AP545+(AP539*AP543)</f>
        <v>77983808.200000003</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1425</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2337</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1449</v>
      </c>
      <c r="AG567" s="1932"/>
      <c r="AH567" s="1932"/>
      <c r="AI567" s="1932"/>
      <c r="AJ567" s="1932"/>
      <c r="AK567" s="1932"/>
      <c r="AL567" s="193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1507</v>
      </c>
      <c r="AG574" s="1932"/>
      <c r="AH574" s="1932"/>
      <c r="AI574" s="1932"/>
      <c r="AJ574" s="1932"/>
      <c r="AK574" s="1932"/>
      <c r="AL574" s="193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1489</v>
      </c>
      <c r="AG580" s="1932"/>
      <c r="AH580" s="1932"/>
      <c r="AI580" s="1932"/>
      <c r="AJ580" s="1932"/>
      <c r="AK580" s="1932"/>
      <c r="AL580" s="193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1510</v>
      </c>
      <c r="AG586" s="1932"/>
      <c r="AH586" s="1932"/>
      <c r="AI586" s="1932"/>
      <c r="AJ586" s="1932"/>
      <c r="AK586" s="1932"/>
      <c r="AL586" s="193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16" t="s">
        <v>1290</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1463</v>
      </c>
      <c r="AG592" s="1932"/>
      <c r="AH592" s="1932"/>
      <c r="AI592" s="1932"/>
      <c r="AJ592" s="1932"/>
      <c r="AK592" s="1932"/>
      <c r="AL592" s="193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14" t="s">
        <v>1508</v>
      </c>
      <c r="I595" s="2014"/>
      <c r="J595" s="971"/>
      <c r="K595" s="971"/>
      <c r="L595" s="971"/>
      <c r="N595" s="22"/>
      <c r="O595" s="22"/>
      <c r="P595" s="22"/>
      <c r="Q595" s="1195" t="s">
        <v>2541</v>
      </c>
      <c r="R595" s="2017" t="s">
        <v>2542</v>
      </c>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15" t="s">
        <v>599</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59" t="s">
        <v>599</v>
      </c>
      <c r="C605" s="1959"/>
      <c r="D605" s="676"/>
      <c r="E605" s="1985" t="s">
        <v>1514</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5">
        <f>VLOOKUP($H$595,$AO$575:$AP$580,2,FALSE)+IF(R595=AO583,0,VLOOKUP($I$603,$AO$602:$AP$604,2,FALSE))</f>
        <v>4</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3" t="s">
        <v>1884</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2" t="s">
        <v>1463</v>
      </c>
      <c r="AG614" s="1932"/>
      <c r="AH614" s="1932"/>
      <c r="AI614" s="1932"/>
      <c r="AJ614" s="1932"/>
      <c r="AK614" s="1932"/>
      <c r="AL614" s="1932"/>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59" t="s">
        <v>599</v>
      </c>
      <c r="Y623" s="195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1519</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4" t="s">
        <v>696</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5">
        <f>VLOOKUP($H$627,$AO$594:$AP$596,2,FALSE)</f>
        <v>3</v>
      </c>
      <c r="AK629" s="1967"/>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5" t="s">
        <v>2416</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2" t="s">
        <v>1463</v>
      </c>
      <c r="AG633" s="1932"/>
      <c r="AH633" s="1932"/>
      <c r="AI633" s="1932"/>
      <c r="AJ633" s="1932"/>
      <c r="AK633" s="1932"/>
      <c r="AL633" s="1932"/>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1519</v>
      </c>
      <c r="AG636" s="1932"/>
      <c r="AH636" s="1932"/>
      <c r="AI636" s="1932"/>
      <c r="AJ636" s="1932"/>
      <c r="AK636" s="1932"/>
      <c r="AL636" s="193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4" t="s">
        <v>517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5">
        <f>VLOOKUP(H639,AT594:AU596,2,FALSE)</f>
        <v>2</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5" t="s">
        <v>1529</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2" t="s">
        <v>1489</v>
      </c>
      <c r="AG646" s="1932"/>
      <c r="AH646" s="1932"/>
      <c r="AI646" s="1932"/>
      <c r="AJ646" s="1932"/>
      <c r="AK646" s="1932"/>
      <c r="AL646" s="1932"/>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5" t="s">
        <v>1530</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2" t="s">
        <v>1510</v>
      </c>
      <c r="AG650" s="1932"/>
      <c r="AH650" s="1932"/>
      <c r="AI650" s="1932"/>
      <c r="AJ650" s="1932"/>
      <c r="AK650" s="1932"/>
      <c r="AL650" s="1932"/>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1531</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2" t="s">
        <v>1463</v>
      </c>
      <c r="AG654" s="1932"/>
      <c r="AH654" s="1932"/>
      <c r="AI654" s="1932"/>
      <c r="AJ654" s="1932"/>
      <c r="AK654" s="1932"/>
      <c r="AL654" s="1932"/>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2"/>
      <c r="AF655" s="1932"/>
      <c r="AG655" s="1932"/>
      <c r="AH655" s="1932"/>
      <c r="AI655" s="1932"/>
      <c r="AJ655" s="1932"/>
      <c r="AK655" s="1932"/>
      <c r="AL655" s="628"/>
      <c r="AN655" s="631"/>
      <c r="AO655" s="584" t="s">
        <v>599</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85" t="s">
        <v>1532</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2" t="s">
        <v>1510</v>
      </c>
      <c r="AG658" s="1932"/>
      <c r="AH658" s="1932"/>
      <c r="AI658" s="1932"/>
      <c r="AJ658" s="1932"/>
      <c r="AK658" s="1932"/>
      <c r="AL658" s="1932"/>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5" t="s">
        <v>1533</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2" t="s">
        <v>1463</v>
      </c>
      <c r="AG662" s="1932"/>
      <c r="AH662" s="1932"/>
      <c r="AI662" s="1932"/>
      <c r="AJ662" s="1932"/>
      <c r="AK662" s="1932"/>
      <c r="AL662" s="1932"/>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5" t="s">
        <v>1534</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2" t="s">
        <v>1519</v>
      </c>
      <c r="AG666" s="1932"/>
      <c r="AH666" s="1932"/>
      <c r="AI666" s="1932"/>
      <c r="AJ666" s="1932"/>
      <c r="AK666" s="1932"/>
      <c r="AL666" s="1932"/>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85" t="s">
        <v>1535</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2" t="s">
        <v>1536</v>
      </c>
      <c r="AG670" s="1932"/>
      <c r="AH670" s="1932"/>
      <c r="AI670" s="1932"/>
      <c r="AJ670" s="1932"/>
      <c r="AK670" s="1932"/>
      <c r="AL670" s="1932"/>
      <c r="AM670" s="630"/>
      <c r="AN670" s="631"/>
      <c r="AO670" s="645" t="s">
        <v>696</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4" t="s">
        <v>599</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5">
        <f>VLOOKUP($H$674,$AO$622:$AP$629,2,FALSE)</f>
        <v>0</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83</v>
      </c>
    </row>
    <row r="680" spans="1:51" s="584" customFormat="1" ht="12.75" customHeight="1">
      <c r="A680" s="713"/>
      <c r="B680" s="570"/>
      <c r="C680" s="983"/>
      <c r="D680" s="697" t="s">
        <v>696</v>
      </c>
      <c r="E680" s="2021" t="s">
        <v>2554</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2" t="s">
        <v>1463</v>
      </c>
      <c r="AG680" s="1932"/>
      <c r="AH680" s="1932"/>
      <c r="AI680" s="1932"/>
      <c r="AJ680" s="1932"/>
      <c r="AK680" s="1932"/>
      <c r="AL680" s="1932"/>
      <c r="AN680" s="631"/>
      <c r="AW680" s="22" t="s">
        <v>2549</v>
      </c>
      <c r="AX680" s="584">
        <f>Application!CC632</f>
        <v>28</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85" t="s">
        <v>2453</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2" t="s">
        <v>1463</v>
      </c>
      <c r="AG683" s="1932"/>
      <c r="AH683" s="1932"/>
      <c r="AI683" s="1932"/>
      <c r="AJ683" s="1932"/>
      <c r="AK683" s="1932"/>
      <c r="AL683" s="1932"/>
      <c r="AN683" s="631"/>
      <c r="AW683" s="22" t="s">
        <v>2552</v>
      </c>
      <c r="AX683" s="584">
        <f>AX680+AX681+AX682</f>
        <v>28</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2553</v>
      </c>
      <c r="AX684" s="584">
        <f>IFERROR(AX683/AX679,0)</f>
        <v>0.33734939759036142</v>
      </c>
      <c r="AY684" s="584">
        <f>IFERROR(AX683/(AX679-AX678),0)</f>
        <v>0.33734939759036142</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5" t="s">
        <v>2454</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2" t="s">
        <v>1519</v>
      </c>
      <c r="AG688" s="1932"/>
      <c r="AH688" s="1932"/>
      <c r="AI688" s="1932"/>
      <c r="AJ688" s="1932"/>
      <c r="AK688" s="1932"/>
      <c r="AL688" s="1932"/>
      <c r="AN688" s="631"/>
      <c r="AO688" s="645" t="s">
        <v>517</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5" t="s">
        <v>1883</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4" t="s">
        <v>517</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5">
        <f>VLOOKUP($H$698,$AO$692:$AP$694,2,FALSE)</f>
        <v>3</v>
      </c>
      <c r="AK700" s="1967"/>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2" t="s">
        <v>1885</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2" t="s">
        <v>1463</v>
      </c>
      <c r="AG704" s="1932"/>
      <c r="AH704" s="1932"/>
      <c r="AI704" s="1932"/>
      <c r="AJ704" s="1932"/>
      <c r="AK704" s="1932"/>
      <c r="AL704" s="1932"/>
      <c r="AM704" s="584"/>
      <c r="AN704" s="718"/>
      <c r="AP704" s="604" t="s">
        <v>1543</v>
      </c>
    </row>
    <row r="705" spans="1:52" s="604" customFormat="1" ht="11.6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3" t="s">
        <v>1546</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2" t="s">
        <v>1519</v>
      </c>
      <c r="AG708" s="1932"/>
      <c r="AH708" s="1932"/>
      <c r="AI708" s="1932"/>
      <c r="AJ708" s="1932"/>
      <c r="AK708" s="1932"/>
      <c r="AL708" s="1932"/>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14" t="s">
        <v>599</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5" t="s">
        <v>1886</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2" t="s">
        <v>1463</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5" t="s">
        <v>1550</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2" t="s">
        <v>1519</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4" t="s">
        <v>599</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5" t="s">
        <v>1553</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2" t="s">
        <v>1463</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5" t="s">
        <v>1554</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2" t="s">
        <v>1519</v>
      </c>
      <c r="AG735" s="1932"/>
      <c r="AH735" s="1932"/>
      <c r="AI735" s="1932"/>
      <c r="AJ735" s="1932"/>
      <c r="AK735" s="1932"/>
      <c r="AL735" s="1932"/>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4" t="s">
        <v>517</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5">
        <f>VLOOKUP($H$740,$AO$669:$AP$671,2,FALSE)</f>
        <v>2</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5" t="s">
        <v>1556</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2" t="s">
        <v>1519</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5" t="s">
        <v>1557</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2" t="s">
        <v>1536</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4" t="s">
        <v>517</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5">
        <f>VLOOKUP($H$752,$AO$686:$AP$688,2,FALSE)</f>
        <v>1</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696</v>
      </c>
      <c r="E758" s="1985" t="s">
        <v>1882</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2" t="s">
        <v>1519</v>
      </c>
      <c r="AG758" s="1932"/>
      <c r="AH758" s="1932"/>
      <c r="AI758" s="1932"/>
      <c r="AJ758" s="1932"/>
      <c r="AK758" s="1932"/>
      <c r="AL758" s="1932"/>
      <c r="AM758" s="647"/>
      <c r="AN758" s="718"/>
      <c r="AO758" s="584" t="s">
        <v>599</v>
      </c>
      <c r="AP758" s="707">
        <v>0</v>
      </c>
    </row>
    <row r="759" spans="1:74" s="604" customFormat="1" ht="13.9"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1887</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2" t="s">
        <v>1463</v>
      </c>
      <c r="AG763" s="1932"/>
      <c r="AH763" s="1932"/>
      <c r="AI763" s="1932"/>
      <c r="AJ763" s="1932"/>
      <c r="AK763" s="1932"/>
      <c r="AL763" s="193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4" t="s">
        <v>599</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696</v>
      </c>
      <c r="E774" s="1985" t="s">
        <v>2347</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2" t="s">
        <v>1463</v>
      </c>
      <c r="AG774" s="1932"/>
      <c r="AH774" s="1932"/>
      <c r="AI774" s="1932"/>
      <c r="AJ774" s="1932"/>
      <c r="AK774" s="1932"/>
      <c r="AL774" s="1932"/>
      <c r="AM774" s="647"/>
      <c r="AN774" s="718"/>
      <c r="AO774" s="645" t="s">
        <v>553</v>
      </c>
      <c r="AP774" s="584">
        <v>3</v>
      </c>
      <c r="AT774" s="708"/>
      <c r="AU774" s="708"/>
      <c r="AV774" s="708"/>
      <c r="AW774" s="708"/>
      <c r="AX774" s="708"/>
      <c r="AY774" s="708"/>
      <c r="AZ774" s="708"/>
    </row>
    <row r="775" spans="1:81" s="604" customFormat="1" ht="13.9"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4" t="s">
        <v>599</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67" t="s">
        <v>1680</v>
      </c>
      <c r="B786" s="2068"/>
      <c r="C786" s="2068"/>
      <c r="D786" s="2068"/>
      <c r="E786" s="2068"/>
      <c r="F786" s="2068"/>
      <c r="G786" s="2068"/>
      <c r="H786" s="2068"/>
      <c r="I786" s="2068"/>
      <c r="J786" s="2068"/>
      <c r="K786" s="2068"/>
      <c r="L786" s="2068"/>
      <c r="M786" s="2068"/>
      <c r="N786" s="2068"/>
      <c r="O786" s="2068"/>
      <c r="P786" s="2068"/>
      <c r="Q786" s="2068"/>
      <c r="R786" s="2068"/>
      <c r="S786" s="2068"/>
      <c r="T786" s="2068"/>
      <c r="U786" s="2068"/>
      <c r="V786" s="2068"/>
      <c r="W786" s="2068"/>
      <c r="X786" s="2068"/>
      <c r="Y786" s="2068"/>
      <c r="Z786" s="2068"/>
      <c r="AA786" s="2068"/>
      <c r="AB786" s="2068"/>
      <c r="AC786" s="2068"/>
      <c r="AD786" s="2068"/>
      <c r="AE786" s="2068"/>
      <c r="AF786" s="2068"/>
      <c r="AG786" s="2068"/>
      <c r="AH786" s="2068"/>
      <c r="AI786" s="2068"/>
      <c r="AJ786" s="2068"/>
      <c r="AK786" s="2068"/>
      <c r="AL786" s="2068"/>
      <c r="AM786" s="2068"/>
    </row>
    <row r="787" spans="1:43">
      <c r="A787" s="2069"/>
      <c r="B787" s="2069"/>
      <c r="C787" s="2069"/>
      <c r="D787" s="2069"/>
      <c r="E787" s="2069"/>
      <c r="F787" s="2069"/>
      <c r="G787" s="2069"/>
      <c r="H787" s="2069"/>
      <c r="I787" s="2069"/>
      <c r="J787" s="2069"/>
      <c r="K787" s="2069"/>
      <c r="L787" s="2069"/>
      <c r="M787" s="2069"/>
      <c r="N787" s="2069"/>
      <c r="O787" s="2069"/>
      <c r="P787" s="2069"/>
      <c r="Q787" s="2069"/>
      <c r="R787" s="2069"/>
      <c r="S787" s="2069"/>
      <c r="T787" s="2069"/>
      <c r="U787" s="2069"/>
      <c r="V787" s="2069"/>
      <c r="W787" s="2069"/>
      <c r="X787" s="2069"/>
      <c r="Y787" s="2069"/>
      <c r="Z787" s="2069"/>
      <c r="AA787" s="2069"/>
      <c r="AB787" s="2069"/>
      <c r="AC787" s="2069"/>
      <c r="AD787" s="2069"/>
      <c r="AE787" s="2069"/>
      <c r="AF787" s="2069"/>
      <c r="AG787" s="2069"/>
      <c r="AH787" s="2069"/>
      <c r="AI787" s="2069"/>
      <c r="AJ787" s="2069"/>
      <c r="AK787" s="2069"/>
      <c r="AL787" s="2069"/>
      <c r="AM787" s="206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0" t="s">
        <v>1681</v>
      </c>
      <c r="U791" s="2071"/>
      <c r="V791" s="2071"/>
      <c r="W791" s="2071"/>
      <c r="X791" s="2071"/>
      <c r="Y791" s="2072"/>
      <c r="Z791" s="2070" t="s">
        <v>1682</v>
      </c>
      <c r="AA791" s="2071"/>
      <c r="AB791" s="2071"/>
      <c r="AC791" s="2071"/>
      <c r="AD791" s="2071"/>
      <c r="AE791" s="2072"/>
      <c r="AF791" s="2070" t="s">
        <v>1683</v>
      </c>
      <c r="AG791" s="2071"/>
      <c r="AH791" s="2071"/>
      <c r="AI791" s="2071"/>
      <c r="AJ791" s="2071"/>
      <c r="AK791" s="207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3"/>
      <c r="U792" s="2074"/>
      <c r="V792" s="2074"/>
      <c r="W792" s="2074"/>
      <c r="X792" s="2074"/>
      <c r="Y792" s="2075"/>
      <c r="Z792" s="2073"/>
      <c r="AA792" s="2074"/>
      <c r="AB792" s="2074"/>
      <c r="AC792" s="2074"/>
      <c r="AD792" s="2074"/>
      <c r="AE792" s="2075"/>
      <c r="AF792" s="2073"/>
      <c r="AG792" s="2074"/>
      <c r="AH792" s="2074"/>
      <c r="AI792" s="2074"/>
      <c r="AJ792" s="2074"/>
      <c r="AK792" s="2075"/>
      <c r="AL792" s="852"/>
      <c r="AM792" s="630"/>
      <c r="AO792" s="850"/>
      <c r="AP792" s="850"/>
      <c r="AQ792" s="850"/>
    </row>
    <row r="793" spans="1:43">
      <c r="A793" s="853" t="s">
        <v>766</v>
      </c>
      <c r="B793" s="2050" t="s">
        <v>1415</v>
      </c>
      <c r="C793" s="2050"/>
      <c r="D793" s="2050"/>
      <c r="E793" s="2050"/>
      <c r="F793" s="2050"/>
      <c r="G793" s="2050"/>
      <c r="H793" s="2050"/>
      <c r="I793" s="2050"/>
      <c r="J793" s="2050"/>
      <c r="K793" s="2050"/>
      <c r="L793" s="2050"/>
      <c r="M793" s="2050"/>
      <c r="N793" s="2050"/>
      <c r="O793" s="2050"/>
      <c r="P793" s="2050"/>
      <c r="Q793" s="2050"/>
      <c r="R793" s="2050"/>
      <c r="S793" s="2051"/>
      <c r="T793" s="2052">
        <f>AK56</f>
        <v>0</v>
      </c>
      <c r="U793" s="2053"/>
      <c r="V793" s="2053"/>
      <c r="W793" s="2053"/>
      <c r="X793" s="2053"/>
      <c r="Y793" s="2054"/>
      <c r="Z793" s="2055">
        <v>20</v>
      </c>
      <c r="AA793" s="2053"/>
      <c r="AB793" s="2053"/>
      <c r="AC793" s="2053"/>
      <c r="AD793" s="2053"/>
      <c r="AE793" s="2054"/>
      <c r="AF793" s="2027">
        <f>IF(T793&gt;Z793,Z793,T793)</f>
        <v>0</v>
      </c>
      <c r="AG793" s="2027"/>
      <c r="AH793" s="2027"/>
      <c r="AI793" s="2027"/>
      <c r="AJ793" s="2027"/>
      <c r="AK793" s="2027"/>
      <c r="AL793" s="852"/>
      <c r="AM793" s="630"/>
      <c r="AO793" s="850"/>
      <c r="AP793" s="850"/>
      <c r="AQ793" s="850"/>
    </row>
    <row r="794" spans="1:43">
      <c r="A794" s="853" t="s">
        <v>1653</v>
      </c>
      <c r="B794" s="2050" t="s">
        <v>1424</v>
      </c>
      <c r="C794" s="2050"/>
      <c r="D794" s="2050"/>
      <c r="E794" s="2050"/>
      <c r="F794" s="2050"/>
      <c r="G794" s="2050"/>
      <c r="H794" s="2050"/>
      <c r="I794" s="2050"/>
      <c r="J794" s="2050"/>
      <c r="K794" s="2050"/>
      <c r="L794" s="2050"/>
      <c r="M794" s="2050"/>
      <c r="N794" s="2050"/>
      <c r="O794" s="2050"/>
      <c r="P794" s="2050"/>
      <c r="Q794" s="2050"/>
      <c r="R794" s="2050"/>
      <c r="S794" s="2051"/>
      <c r="T794" s="2052">
        <f>AK78</f>
        <v>10</v>
      </c>
      <c r="U794" s="2053"/>
      <c r="V794" s="2053"/>
      <c r="W794" s="2053"/>
      <c r="X794" s="2053"/>
      <c r="Y794" s="2054"/>
      <c r="Z794" s="2055">
        <v>10</v>
      </c>
      <c r="AA794" s="2053"/>
      <c r="AB794" s="2053"/>
      <c r="AC794" s="2053"/>
      <c r="AD794" s="2053"/>
      <c r="AE794" s="2054"/>
      <c r="AF794" s="2027">
        <f>IF(T794&gt;Z794,Z794,T794)</f>
        <v>10</v>
      </c>
      <c r="AG794" s="2027"/>
      <c r="AH794" s="2027"/>
      <c r="AI794" s="2027"/>
      <c r="AJ794" s="2027"/>
      <c r="AK794" s="2027"/>
      <c r="AL794" s="852"/>
      <c r="AM794" s="630"/>
      <c r="AO794" s="850"/>
      <c r="AP794" s="850"/>
      <c r="AQ794" s="850"/>
    </row>
    <row r="795" spans="1:43">
      <c r="A795" s="853" t="s">
        <v>1662</v>
      </c>
      <c r="B795" s="2050" t="s">
        <v>1434</v>
      </c>
      <c r="C795" s="2050"/>
      <c r="D795" s="2050"/>
      <c r="E795" s="2050"/>
      <c r="F795" s="2050"/>
      <c r="G795" s="2050"/>
      <c r="H795" s="2050"/>
      <c r="I795" s="2050"/>
      <c r="J795" s="2050"/>
      <c r="K795" s="2050"/>
      <c r="L795" s="2050"/>
      <c r="M795" s="2050"/>
      <c r="N795" s="2050"/>
      <c r="O795" s="2050"/>
      <c r="P795" s="2050"/>
      <c r="Q795" s="2050"/>
      <c r="R795" s="2050"/>
      <c r="S795" s="2051"/>
      <c r="T795" s="2052">
        <f ca="1">AK103</f>
        <v>20</v>
      </c>
      <c r="U795" s="2053"/>
      <c r="V795" s="2053"/>
      <c r="W795" s="2053"/>
      <c r="X795" s="2053"/>
      <c r="Y795" s="2054"/>
      <c r="Z795" s="2055">
        <v>20</v>
      </c>
      <c r="AA795" s="2053"/>
      <c r="AB795" s="2053"/>
      <c r="AC795" s="2053"/>
      <c r="AD795" s="2053"/>
      <c r="AE795" s="2054"/>
      <c r="AF795" s="2027">
        <f ca="1">IF(T795&gt;Z795,Z795,T795)</f>
        <v>20</v>
      </c>
      <c r="AG795" s="2027"/>
      <c r="AH795" s="2027"/>
      <c r="AI795" s="2027"/>
      <c r="AJ795" s="2027"/>
      <c r="AK795" s="2027"/>
      <c r="AL795" s="852"/>
      <c r="AM795" s="630"/>
      <c r="AO795" s="850"/>
      <c r="AP795" s="850"/>
      <c r="AQ795" s="850"/>
    </row>
    <row r="796" spans="1:43">
      <c r="A796" s="853" t="s">
        <v>1684</v>
      </c>
      <c r="B796" s="2050" t="s">
        <v>1444</v>
      </c>
      <c r="C796" s="2050"/>
      <c r="D796" s="2050"/>
      <c r="E796" s="2050"/>
      <c r="F796" s="2050"/>
      <c r="G796" s="2050"/>
      <c r="H796" s="2050"/>
      <c r="I796" s="2050"/>
      <c r="J796" s="2050"/>
      <c r="K796" s="2050"/>
      <c r="L796" s="2050"/>
      <c r="M796" s="2050"/>
      <c r="N796" s="2050"/>
      <c r="O796" s="2050"/>
      <c r="P796" s="2050"/>
      <c r="Q796" s="2050"/>
      <c r="R796" s="2050"/>
      <c r="S796" s="2051"/>
      <c r="T796" s="2052">
        <f>AK137</f>
        <v>10</v>
      </c>
      <c r="U796" s="2053"/>
      <c r="V796" s="2053"/>
      <c r="W796" s="2053"/>
      <c r="X796" s="2053"/>
      <c r="Y796" s="2054"/>
      <c r="Z796" s="2055">
        <v>10</v>
      </c>
      <c r="AA796" s="2053"/>
      <c r="AB796" s="2053"/>
      <c r="AC796" s="2053"/>
      <c r="AD796" s="2053"/>
      <c r="AE796" s="2054"/>
      <c r="AF796" s="2027">
        <f>IF(T796&gt;Z796,Z796,T796)</f>
        <v>10</v>
      </c>
      <c r="AG796" s="2027"/>
      <c r="AH796" s="2027"/>
      <c r="AI796" s="2027"/>
      <c r="AJ796" s="2027"/>
      <c r="AK796" s="2027"/>
      <c r="AL796" s="852"/>
      <c r="AM796" s="630"/>
      <c r="AO796" s="850"/>
      <c r="AP796" s="850"/>
      <c r="AQ796" s="850"/>
    </row>
    <row r="797" spans="1:43">
      <c r="A797" s="854" t="s">
        <v>1685</v>
      </c>
      <c r="B797" s="2050" t="s">
        <v>1686</v>
      </c>
      <c r="C797" s="2050"/>
      <c r="D797" s="2050"/>
      <c r="E797" s="2050"/>
      <c r="F797" s="2050"/>
      <c r="G797" s="2050"/>
      <c r="H797" s="2050"/>
      <c r="I797" s="2050"/>
      <c r="J797" s="2050"/>
      <c r="K797" s="2050"/>
      <c r="L797" s="2050"/>
      <c r="M797" s="2050"/>
      <c r="N797" s="2050"/>
      <c r="O797" s="2050"/>
      <c r="P797" s="2050"/>
      <c r="Q797" s="2050"/>
      <c r="R797" s="2050"/>
      <c r="S797" s="2051"/>
      <c r="T797" s="2076">
        <f>SUM(T798:Y799)</f>
        <v>10</v>
      </c>
      <c r="U797" s="2076"/>
      <c r="V797" s="2076"/>
      <c r="W797" s="2076"/>
      <c r="X797" s="2076"/>
      <c r="Y797" s="2076"/>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77" t="s">
        <v>1687</v>
      </c>
      <c r="D798" s="2077"/>
      <c r="E798" s="2077"/>
      <c r="F798" s="2077"/>
      <c r="G798" s="2077"/>
      <c r="H798" s="2077"/>
      <c r="I798" s="2077"/>
      <c r="J798" s="2077"/>
      <c r="K798" s="2077"/>
      <c r="L798" s="2077"/>
      <c r="M798" s="2077"/>
      <c r="N798" s="2077"/>
      <c r="O798" s="2077"/>
      <c r="P798" s="2077"/>
      <c r="Q798" s="2077"/>
      <c r="R798" s="2077"/>
      <c r="S798" s="2078"/>
      <c r="T798" s="1960">
        <f>AJ155</f>
        <v>7</v>
      </c>
      <c r="U798" s="1960"/>
      <c r="V798" s="1960"/>
      <c r="W798" s="1960"/>
      <c r="X798" s="1960"/>
      <c r="Y798" s="1960"/>
      <c r="Z798" s="1961">
        <v>7</v>
      </c>
      <c r="AA798" s="1961"/>
      <c r="AB798" s="1961"/>
      <c r="AC798" s="1961"/>
      <c r="AD798" s="1961"/>
      <c r="AE798" s="1961"/>
      <c r="AF798" s="2079"/>
      <c r="AG798" s="2079"/>
      <c r="AH798" s="2079"/>
      <c r="AI798" s="2079"/>
      <c r="AJ798" s="2079"/>
      <c r="AK798" s="2079"/>
      <c r="AL798" s="852"/>
      <c r="AM798" s="630"/>
    </row>
    <row r="799" spans="1:43">
      <c r="A799" s="634"/>
      <c r="B799" s="635"/>
      <c r="C799" s="2077" t="s">
        <v>1688</v>
      </c>
      <c r="D799" s="2077"/>
      <c r="E799" s="2077"/>
      <c r="F799" s="2077"/>
      <c r="G799" s="2077"/>
      <c r="H799" s="2077"/>
      <c r="I799" s="2077"/>
      <c r="J799" s="2077"/>
      <c r="K799" s="2077"/>
      <c r="L799" s="2077"/>
      <c r="M799" s="2077"/>
      <c r="N799" s="2077"/>
      <c r="O799" s="2077"/>
      <c r="P799" s="2077"/>
      <c r="Q799" s="2077"/>
      <c r="R799" s="2077"/>
      <c r="S799" s="2078"/>
      <c r="T799" s="1960">
        <f>AJ169</f>
        <v>3</v>
      </c>
      <c r="U799" s="1960"/>
      <c r="V799" s="1960"/>
      <c r="W799" s="1960"/>
      <c r="X799" s="1960"/>
      <c r="Y799" s="1960"/>
      <c r="Z799" s="1961">
        <v>3</v>
      </c>
      <c r="AA799" s="1961"/>
      <c r="AB799" s="1961"/>
      <c r="AC799" s="1961"/>
      <c r="AD799" s="1961"/>
      <c r="AE799" s="1961"/>
      <c r="AF799" s="2079"/>
      <c r="AG799" s="2079"/>
      <c r="AH799" s="2079"/>
      <c r="AI799" s="2079"/>
      <c r="AJ799" s="2079"/>
      <c r="AK799" s="2079"/>
      <c r="AL799" s="852"/>
      <c r="AM799" s="630"/>
      <c r="AO799" s="584"/>
    </row>
    <row r="800" spans="1:43">
      <c r="A800" s="854" t="s">
        <v>1472</v>
      </c>
      <c r="B800" s="2050" t="s">
        <v>1689</v>
      </c>
      <c r="C800" s="2050"/>
      <c r="D800" s="2050"/>
      <c r="E800" s="2050"/>
      <c r="F800" s="2050"/>
      <c r="G800" s="2050"/>
      <c r="H800" s="2050"/>
      <c r="I800" s="2050"/>
      <c r="J800" s="2050"/>
      <c r="K800" s="2050"/>
      <c r="L800" s="2050"/>
      <c r="M800" s="2050"/>
      <c r="N800" s="2050"/>
      <c r="O800" s="2050"/>
      <c r="P800" s="2050"/>
      <c r="Q800" s="2050"/>
      <c r="R800" s="2050"/>
      <c r="S800" s="2051"/>
      <c r="T800" s="2076">
        <f>AK180</f>
        <v>10</v>
      </c>
      <c r="U800" s="2076"/>
      <c r="V800" s="2076"/>
      <c r="W800" s="2076"/>
      <c r="X800" s="2076"/>
      <c r="Y800" s="2076"/>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1481</v>
      </c>
      <c r="B801" s="2050" t="s">
        <v>1482</v>
      </c>
      <c r="C801" s="2050"/>
      <c r="D801" s="2050"/>
      <c r="E801" s="2050"/>
      <c r="F801" s="2050"/>
      <c r="G801" s="2050"/>
      <c r="H801" s="2050"/>
      <c r="I801" s="2050"/>
      <c r="J801" s="2050"/>
      <c r="K801" s="2050"/>
      <c r="L801" s="2050"/>
      <c r="M801" s="2050"/>
      <c r="N801" s="2050"/>
      <c r="O801" s="2050"/>
      <c r="P801" s="2050"/>
      <c r="Q801" s="2050"/>
      <c r="R801" s="2050"/>
      <c r="S801" s="2051"/>
      <c r="T801" s="2076">
        <f>AK262</f>
        <v>8</v>
      </c>
      <c r="U801" s="2076"/>
      <c r="V801" s="2076"/>
      <c r="W801" s="2076"/>
      <c r="X801" s="2076"/>
      <c r="Y801" s="2076"/>
      <c r="Z801" s="2055">
        <v>8</v>
      </c>
      <c r="AA801" s="2053"/>
      <c r="AB801" s="2053"/>
      <c r="AC801" s="2053"/>
      <c r="AD801" s="2053"/>
      <c r="AE801" s="2054"/>
      <c r="AF801" s="2027">
        <f>IF(T801&gt;Z801,Z801,T801)</f>
        <v>8</v>
      </c>
      <c r="AG801" s="2027"/>
      <c r="AH801" s="2027"/>
      <c r="AI801" s="2027"/>
      <c r="AJ801" s="2027"/>
      <c r="AK801" s="2027"/>
      <c r="AL801" s="852"/>
      <c r="AM801" s="630"/>
    </row>
    <row r="802" spans="1:81" s="568" customFormat="1" hidden="1">
      <c r="A802" s="854" t="s">
        <v>597</v>
      </c>
      <c r="B802" s="2050" t="s">
        <v>1690</v>
      </c>
      <c r="C802" s="2050"/>
      <c r="D802" s="2050"/>
      <c r="E802" s="2050"/>
      <c r="F802" s="2050"/>
      <c r="G802" s="2050"/>
      <c r="H802" s="2050"/>
      <c r="I802" s="2050"/>
      <c r="J802" s="2050"/>
      <c r="K802" s="2050"/>
      <c r="L802" s="2050"/>
      <c r="M802" s="2050"/>
      <c r="N802" s="2050"/>
      <c r="O802" s="2050"/>
      <c r="P802" s="2050"/>
      <c r="Q802" s="2050"/>
      <c r="R802" s="2050"/>
      <c r="S802" s="2051"/>
      <c r="T802" s="2076">
        <f>IF(AK524&gt;5,5,AK524)</f>
        <v>0</v>
      </c>
      <c r="U802" s="2076"/>
      <c r="V802" s="2076"/>
      <c r="W802" s="2076"/>
      <c r="X802" s="2076"/>
      <c r="Y802" s="2076"/>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50" t="s">
        <v>1691</v>
      </c>
      <c r="C803" s="2050"/>
      <c r="D803" s="2050"/>
      <c r="E803" s="2050"/>
      <c r="F803" s="2050"/>
      <c r="G803" s="2050"/>
      <c r="H803" s="2050"/>
      <c r="I803" s="2050"/>
      <c r="J803" s="2050"/>
      <c r="K803" s="2050"/>
      <c r="L803" s="2050"/>
      <c r="M803" s="2050"/>
      <c r="N803" s="2050"/>
      <c r="O803" s="2050"/>
      <c r="P803" s="2050"/>
      <c r="Q803" s="2050"/>
      <c r="R803" s="2050"/>
      <c r="S803" s="2051"/>
      <c r="T803" s="2076">
        <f>AK274</f>
        <v>10</v>
      </c>
      <c r="U803" s="2076"/>
      <c r="V803" s="2076"/>
      <c r="W803" s="2076"/>
      <c r="X803" s="2076"/>
      <c r="Y803" s="2076"/>
      <c r="Z803" s="2027">
        <v>10</v>
      </c>
      <c r="AA803" s="2027"/>
      <c r="AB803" s="2027"/>
      <c r="AC803" s="2027"/>
      <c r="AD803" s="2027"/>
      <c r="AE803" s="2027"/>
      <c r="AF803" s="2082">
        <f>IF(T803&gt;Z803,Z803,T803)</f>
        <v>10</v>
      </c>
      <c r="AG803" s="2083"/>
      <c r="AH803" s="2083"/>
      <c r="AI803" s="2083"/>
      <c r="AJ803" s="2083"/>
      <c r="AK803" s="208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50" t="s">
        <v>1492</v>
      </c>
      <c r="C804" s="2050"/>
      <c r="D804" s="2050"/>
      <c r="E804" s="2050"/>
      <c r="F804" s="2050"/>
      <c r="G804" s="2050"/>
      <c r="H804" s="2050"/>
      <c r="I804" s="2050"/>
      <c r="J804" s="2050"/>
      <c r="K804" s="2050"/>
      <c r="L804" s="2050"/>
      <c r="M804" s="2050"/>
      <c r="N804" s="2050"/>
      <c r="O804" s="2050"/>
      <c r="P804" s="2050"/>
      <c r="Q804" s="2050"/>
      <c r="R804" s="2050"/>
      <c r="S804" s="2051"/>
      <c r="T804" s="2076">
        <f>AK327</f>
        <v>9</v>
      </c>
      <c r="U804" s="2076"/>
      <c r="V804" s="2076"/>
      <c r="W804" s="2076"/>
      <c r="X804" s="2076"/>
      <c r="Y804" s="2076"/>
      <c r="Z804" s="2082">
        <v>10</v>
      </c>
      <c r="AA804" s="2083"/>
      <c r="AB804" s="2083"/>
      <c r="AC804" s="2083"/>
      <c r="AD804" s="2083"/>
      <c r="AE804" s="2084"/>
      <c r="AF804" s="2082">
        <f>IF(T804&gt;Z804,Z804,T804)</f>
        <v>9</v>
      </c>
      <c r="AG804" s="2083"/>
      <c r="AH804" s="2083"/>
      <c r="AI804" s="2083"/>
      <c r="AJ804" s="2083"/>
      <c r="AK804" s="208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79"/>
      <c r="AG805" s="2079"/>
      <c r="AH805" s="2079"/>
      <c r="AI805" s="2079"/>
      <c r="AJ805" s="2079"/>
      <c r="AK805" s="207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50" t="s">
        <v>856</v>
      </c>
      <c r="C806" s="2050"/>
      <c r="D806" s="2050"/>
      <c r="E806" s="2050"/>
      <c r="F806" s="2050"/>
      <c r="G806" s="2050"/>
      <c r="H806" s="2050"/>
      <c r="I806" s="2050"/>
      <c r="J806" s="2050"/>
      <c r="K806" s="2050"/>
      <c r="L806" s="2050"/>
      <c r="M806" s="2050"/>
      <c r="N806" s="2050"/>
      <c r="O806" s="2050"/>
      <c r="P806" s="2050"/>
      <c r="Q806" s="2050"/>
      <c r="R806" s="2050"/>
      <c r="S806" s="2051"/>
      <c r="T806" s="2076">
        <f>AK458</f>
        <v>10</v>
      </c>
      <c r="U806" s="2076"/>
      <c r="V806" s="2076"/>
      <c r="W806" s="2076"/>
      <c r="X806" s="2076"/>
      <c r="Y806" s="2076"/>
      <c r="Z806" s="2082">
        <v>10</v>
      </c>
      <c r="AA806" s="2083"/>
      <c r="AB806" s="2083"/>
      <c r="AC806" s="2083"/>
      <c r="AD806" s="2083"/>
      <c r="AE806" s="2084"/>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50" t="s">
        <v>1671</v>
      </c>
      <c r="C807" s="2050"/>
      <c r="D807" s="2050"/>
      <c r="E807" s="2050"/>
      <c r="F807" s="2050"/>
      <c r="G807" s="2050"/>
      <c r="H807" s="2050"/>
      <c r="I807" s="2050"/>
      <c r="J807" s="2050"/>
      <c r="K807" s="2050"/>
      <c r="L807" s="2050"/>
      <c r="M807" s="2050"/>
      <c r="N807" s="2050"/>
      <c r="O807" s="2050"/>
      <c r="P807" s="2050"/>
      <c r="Q807" s="2050"/>
      <c r="R807" s="2050"/>
      <c r="S807" s="2051"/>
      <c r="T807" s="2076">
        <f>AK548</f>
        <v>12</v>
      </c>
      <c r="U807" s="2076"/>
      <c r="V807" s="2076"/>
      <c r="W807" s="2076"/>
      <c r="X807" s="2076"/>
      <c r="Y807" s="2076"/>
      <c r="Z807" s="2082">
        <v>12</v>
      </c>
      <c r="AA807" s="2083"/>
      <c r="AB807" s="2083"/>
      <c r="AC807" s="2083"/>
      <c r="AD807" s="2083"/>
      <c r="AE807" s="2084"/>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50" t="s">
        <v>1693</v>
      </c>
      <c r="C808" s="2050"/>
      <c r="D808" s="2050"/>
      <c r="E808" s="2050"/>
      <c r="F808" s="2050"/>
      <c r="G808" s="2050"/>
      <c r="H808" s="2050"/>
      <c r="I808" s="2050"/>
      <c r="J808" s="2050"/>
      <c r="K808" s="2050"/>
      <c r="L808" s="2050"/>
      <c r="M808" s="2050"/>
      <c r="N808" s="2050"/>
      <c r="O808" s="2050"/>
      <c r="P808" s="2050"/>
      <c r="Q808" s="2050"/>
      <c r="R808" s="2050"/>
      <c r="S808" s="2051"/>
      <c r="T808" s="2076">
        <f>AK783</f>
        <v>10</v>
      </c>
      <c r="U808" s="2076"/>
      <c r="V808" s="2076"/>
      <c r="W808" s="2076"/>
      <c r="X808" s="2076"/>
      <c r="Y808" s="2076"/>
      <c r="Z808" s="2082">
        <v>10</v>
      </c>
      <c r="AA808" s="2083"/>
      <c r="AB808" s="2083"/>
      <c r="AC808" s="2083"/>
      <c r="AD808" s="2083"/>
      <c r="AE808" s="2084"/>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0" t="s">
        <v>1694</v>
      </c>
      <c r="B809" s="2050"/>
      <c r="C809" s="2050"/>
      <c r="D809" s="2050"/>
      <c r="E809" s="2050"/>
      <c r="F809" s="2050"/>
      <c r="G809" s="2050"/>
      <c r="H809" s="2050"/>
      <c r="I809" s="2050"/>
      <c r="J809" s="2050"/>
      <c r="K809" s="2050"/>
      <c r="L809" s="2050"/>
      <c r="M809" s="2050"/>
      <c r="N809" s="2050"/>
      <c r="O809" s="2050"/>
      <c r="P809" s="2050"/>
      <c r="Q809" s="2050"/>
      <c r="R809" s="2050"/>
      <c r="S809" s="2051"/>
      <c r="T809" s="2081"/>
      <c r="U809" s="2081"/>
      <c r="V809" s="2081"/>
      <c r="W809" s="2081"/>
      <c r="X809" s="2081"/>
      <c r="Y809" s="2081"/>
      <c r="Z809" s="1961" t="s">
        <v>1695</v>
      </c>
      <c r="AA809" s="1961"/>
      <c r="AB809" s="1961"/>
      <c r="AC809" s="1961"/>
      <c r="AD809" s="1961"/>
      <c r="AE809" s="1961"/>
      <c r="AF809" s="2082">
        <f>IF(T809&gt;0,T809,0)</f>
        <v>0</v>
      </c>
      <c r="AG809" s="2083"/>
      <c r="AH809" s="2083"/>
      <c r="AI809" s="2083"/>
      <c r="AJ809" s="2083"/>
      <c r="AK809" s="208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85" t="s">
        <v>1696</v>
      </c>
      <c r="B810" s="2086"/>
      <c r="C810" s="2086"/>
      <c r="D810" s="2086"/>
      <c r="E810" s="2086"/>
      <c r="F810" s="2086"/>
      <c r="G810" s="2086"/>
      <c r="H810" s="2086"/>
      <c r="I810" s="2086"/>
      <c r="J810" s="2086"/>
      <c r="K810" s="2086"/>
      <c r="L810" s="2086"/>
      <c r="M810" s="2086"/>
      <c r="N810" s="2086"/>
      <c r="O810" s="2086"/>
      <c r="P810" s="2086"/>
      <c r="Q810" s="2086"/>
      <c r="R810" s="2086"/>
      <c r="S810" s="2086"/>
      <c r="T810" s="2086"/>
      <c r="U810" s="2086"/>
      <c r="V810" s="2086"/>
      <c r="W810" s="2086"/>
      <c r="X810" s="2086"/>
      <c r="Y810" s="2086"/>
      <c r="Z810" s="2086"/>
      <c r="AA810" s="2086"/>
      <c r="AB810" s="2086"/>
      <c r="AC810" s="2086"/>
      <c r="AD810" s="2086"/>
      <c r="AE810" s="2087"/>
      <c r="AF810" s="2091">
        <f ca="1">SUM(AF793:AK808)-AF809</f>
        <v>119</v>
      </c>
      <c r="AG810" s="2092"/>
      <c r="AH810" s="2092"/>
      <c r="AI810" s="2092"/>
      <c r="AJ810" s="2092"/>
      <c r="AK810" s="209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88"/>
      <c r="B811" s="2089"/>
      <c r="C811" s="2089"/>
      <c r="D811" s="2089"/>
      <c r="E811" s="2089"/>
      <c r="F811" s="2089"/>
      <c r="G811" s="2089"/>
      <c r="H811" s="2089"/>
      <c r="I811" s="2089"/>
      <c r="J811" s="2089"/>
      <c r="K811" s="2089"/>
      <c r="L811" s="2089"/>
      <c r="M811" s="2089"/>
      <c r="N811" s="2089"/>
      <c r="O811" s="2089"/>
      <c r="P811" s="2089"/>
      <c r="Q811" s="2089"/>
      <c r="R811" s="2089"/>
      <c r="S811" s="2089"/>
      <c r="T811" s="2089"/>
      <c r="U811" s="2089"/>
      <c r="V811" s="2089"/>
      <c r="W811" s="2089"/>
      <c r="X811" s="2089"/>
      <c r="Y811" s="2089"/>
      <c r="Z811" s="2089"/>
      <c r="AA811" s="2089"/>
      <c r="AB811" s="2089"/>
      <c r="AC811" s="2089"/>
      <c r="AD811" s="2089"/>
      <c r="AE811" s="2090"/>
      <c r="AF811" s="2094"/>
      <c r="AG811" s="2095"/>
      <c r="AH811" s="2095"/>
      <c r="AI811" s="2095"/>
      <c r="AJ811" s="2095"/>
      <c r="AK811" s="209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B216:G216"/>
    <mergeCell ref="B214:G214"/>
    <mergeCell ref="B217:G217"/>
    <mergeCell ref="F267:AD271"/>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N221:R221"/>
    <mergeCell ref="N222:R222"/>
    <mergeCell ref="T217:Y217"/>
    <mergeCell ref="AP541:AR541"/>
    <mergeCell ref="C533:D533"/>
    <mergeCell ref="AB236:AG236"/>
    <mergeCell ref="B199:AB199"/>
    <mergeCell ref="T213:Y213"/>
    <mergeCell ref="T212:Y212"/>
    <mergeCell ref="AB229:AG229"/>
    <mergeCell ref="AB232:AG232"/>
    <mergeCell ref="F492:Z492"/>
    <mergeCell ref="C494:D494"/>
    <mergeCell ref="F494:AE495"/>
    <mergeCell ref="F497:H497"/>
    <mergeCell ref="D484:E484"/>
    <mergeCell ref="V485:X485"/>
    <mergeCell ref="V487:X487"/>
    <mergeCell ref="F469:Z469"/>
    <mergeCell ref="C471:D471"/>
    <mergeCell ref="C446:D446"/>
    <mergeCell ref="F446:AE449"/>
    <mergeCell ref="AF446:AL446"/>
    <mergeCell ref="F451:AF454"/>
    <mergeCell ref="AE461:AK461"/>
    <mergeCell ref="F373:AF377"/>
    <mergeCell ref="T218:Y218"/>
    <mergeCell ref="AE330:AK330"/>
    <mergeCell ref="B198:AB198"/>
    <mergeCell ref="B219:G219"/>
    <mergeCell ref="B220:G220"/>
    <mergeCell ref="B221:G221"/>
    <mergeCell ref="B222:G222"/>
    <mergeCell ref="N214:R214"/>
    <mergeCell ref="N215:R215"/>
    <mergeCell ref="AB212:AG212"/>
    <mergeCell ref="I215:K215"/>
    <mergeCell ref="I216:K216"/>
    <mergeCell ref="N219:R219"/>
    <mergeCell ref="N216:R216"/>
    <mergeCell ref="I217:K217"/>
    <mergeCell ref="I218:K218"/>
    <mergeCell ref="I219:K219"/>
    <mergeCell ref="B213:G213"/>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C512:D512"/>
    <mergeCell ref="F513:AF51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AS351:AT351"/>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E774:AD777"/>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B215:G215"/>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7109375" style="1080" customWidth="1"/>
    <col min="12" max="12" width="10.7109375" style="1079" customWidth="1"/>
    <col min="13" max="13" width="10.42578125" style="1079" customWidth="1"/>
    <col min="14" max="14" width="10.7109375" style="1079" customWidth="1"/>
    <col min="15" max="16384" width="9.140625" style="1079"/>
  </cols>
  <sheetData>
    <row r="1" spans="1:13" ht="30" customHeight="1">
      <c r="A1" s="2149" t="s">
        <v>1697</v>
      </c>
      <c r="B1" s="2149"/>
      <c r="C1" s="2149"/>
      <c r="D1" s="2149"/>
      <c r="E1" s="2149"/>
      <c r="F1" s="2149"/>
      <c r="G1" s="2149"/>
      <c r="H1" s="2149"/>
      <c r="I1" s="2149"/>
      <c r="J1" s="2149"/>
    </row>
    <row r="2" spans="1:13" ht="15" customHeight="1" thickBot="1">
      <c r="A2" s="1081"/>
      <c r="B2" s="1081"/>
      <c r="I2" s="1082"/>
      <c r="K2" s="1083"/>
    </row>
    <row r="3" spans="1:13" s="1086" customFormat="1" ht="19.899999999999999" customHeight="1">
      <c r="A3" s="1140"/>
      <c r="B3" s="1141"/>
      <c r="C3" s="1142"/>
      <c r="D3" s="1147"/>
      <c r="E3" s="1142"/>
      <c r="F3" s="1143" t="s">
        <v>2300</v>
      </c>
      <c r="G3" s="1142"/>
      <c r="H3" s="1144">
        <f>E16</f>
        <v>26715984</v>
      </c>
      <c r="I3" s="1145"/>
    </row>
    <row r="4" spans="1:13" s="1086" customFormat="1" ht="19.899999999999999" customHeight="1">
      <c r="B4" s="1134"/>
      <c r="D4" s="1148"/>
      <c r="F4" s="1132" t="s">
        <v>2302</v>
      </c>
      <c r="G4" s="1131" t="s">
        <v>2301</v>
      </c>
      <c r="H4" s="1133">
        <f>I16</f>
        <v>34150337.752369285</v>
      </c>
      <c r="I4" s="1135"/>
      <c r="K4" s="1090"/>
    </row>
    <row r="5" spans="1:13" s="1086" customFormat="1" ht="19.899999999999999" customHeight="1" thickBot="1">
      <c r="B5" s="1136"/>
      <c r="C5" s="1137"/>
      <c r="D5" s="1149"/>
      <c r="E5" s="1138"/>
      <c r="F5" s="1149" t="s">
        <v>2242</v>
      </c>
      <c r="G5" s="1150"/>
      <c r="H5" s="1146">
        <f>H3/H4</f>
        <v>0.7823051178504522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2240</v>
      </c>
      <c r="C8" s="2152"/>
      <c r="D8" s="2152"/>
      <c r="E8" s="2153"/>
      <c r="G8" s="2154" t="s">
        <v>2241</v>
      </c>
      <c r="H8" s="2155"/>
      <c r="I8" s="2156"/>
      <c r="K8" s="1092"/>
    </row>
    <row r="9" spans="1:13" ht="15" customHeight="1">
      <c r="A9" s="1081"/>
      <c r="B9" s="2150" t="s">
        <v>2279</v>
      </c>
      <c r="C9" s="2150"/>
      <c r="D9" s="2150"/>
      <c r="E9" s="1094">
        <f>G31</f>
        <v>5287500</v>
      </c>
      <c r="G9" s="2159" t="s">
        <v>2277</v>
      </c>
      <c r="H9" s="2159"/>
      <c r="I9" s="1095">
        <f>Application!AM554</f>
        <v>31558092</v>
      </c>
      <c r="K9" s="1096"/>
      <c r="M9" s="1097"/>
    </row>
    <row r="10" spans="1:13" ht="15" customHeight="1" thickBot="1">
      <c r="A10" s="1081"/>
      <c r="B10" s="2150" t="s">
        <v>2280</v>
      </c>
      <c r="C10" s="2150"/>
      <c r="D10" s="2150"/>
      <c r="E10" s="1095">
        <f>G40</f>
        <v>17660484</v>
      </c>
      <c r="G10" s="2159" t="s">
        <v>2243</v>
      </c>
      <c r="H10" s="2159"/>
      <c r="I10" s="1182">
        <f>'Basis &amp; Credits'!AB77</f>
        <v>7401749</v>
      </c>
      <c r="M10" s="1097"/>
    </row>
    <row r="11" spans="1:13" ht="15" customHeight="1">
      <c r="A11" s="1098"/>
      <c r="B11" s="2150" t="s">
        <v>2281</v>
      </c>
      <c r="C11" s="2150"/>
      <c r="D11" s="2150"/>
      <c r="E11" s="1095">
        <f>G49</f>
        <v>410000</v>
      </c>
      <c r="G11" s="2159" t="s">
        <v>2292</v>
      </c>
      <c r="H11" s="2159"/>
      <c r="I11" s="1181">
        <f>I9+I10</f>
        <v>38959841</v>
      </c>
      <c r="M11" s="1097"/>
    </row>
    <row r="12" spans="1:13" ht="15" customHeight="1">
      <c r="A12" s="1084"/>
      <c r="B12" s="2150" t="s">
        <v>2282</v>
      </c>
      <c r="C12" s="2150"/>
      <c r="D12" s="2150"/>
      <c r="E12" s="1095">
        <f>G58</f>
        <v>820000</v>
      </c>
      <c r="G12" s="1183" t="s">
        <v>2317</v>
      </c>
      <c r="H12" s="1184"/>
      <c r="M12" s="1097"/>
    </row>
    <row r="13" spans="1:13" ht="15" customHeight="1">
      <c r="A13" s="1081"/>
      <c r="B13" s="2150" t="s">
        <v>2283</v>
      </c>
      <c r="C13" s="2150"/>
      <c r="D13" s="2150"/>
      <c r="E13" s="1100">
        <f>G83</f>
        <v>2538000</v>
      </c>
      <c r="G13" s="2160" t="s">
        <v>139</v>
      </c>
      <c r="H13" s="2160"/>
      <c r="I13" s="1099">
        <f>15%*(Application!AJ993&gt;0)</f>
        <v>0.15</v>
      </c>
      <c r="M13" s="1097"/>
    </row>
    <row r="14" spans="1:13" ht="15" customHeight="1">
      <c r="A14" s="1081"/>
      <c r="B14" s="2150" t="s">
        <v>2284</v>
      </c>
      <c r="C14" s="2150"/>
      <c r="D14" s="2150"/>
      <c r="E14" s="1095">
        <f>IF(G96&gt;G106,G96,0)</f>
        <v>0</v>
      </c>
      <c r="G14" s="1179" t="s">
        <v>2293</v>
      </c>
      <c r="H14" s="1179"/>
      <c r="I14" s="1099">
        <f>IF(Application!AJ1031&gt;0,10%,IF(Application!AJ1035&gt;0,5%,0))</f>
        <v>0</v>
      </c>
      <c r="M14" s="1097"/>
    </row>
    <row r="15" spans="1:13" ht="15" customHeight="1" thickBot="1">
      <c r="A15" s="1081"/>
      <c r="B15" s="2157" t="s">
        <v>2303</v>
      </c>
      <c r="C15" s="2157"/>
      <c r="D15" s="2157"/>
      <c r="E15" s="1151">
        <f>IF(E14&gt;0,0,G106)</f>
        <v>0</v>
      </c>
      <c r="G15" s="2163" t="s">
        <v>2294</v>
      </c>
      <c r="H15" s="2164"/>
      <c r="I15" s="1153">
        <f>G114</f>
        <v>-2.6552287581699346E-2</v>
      </c>
      <c r="M15" s="1097"/>
    </row>
    <row r="16" spans="1:13" ht="15" customHeight="1">
      <c r="A16" s="1081"/>
      <c r="B16" s="2158" t="s">
        <v>2239</v>
      </c>
      <c r="C16" s="2158"/>
      <c r="D16" s="2158"/>
      <c r="E16" s="1152">
        <f>SUM(E9:E15)</f>
        <v>26715984</v>
      </c>
      <c r="G16" s="1180" t="s">
        <v>2278</v>
      </c>
      <c r="H16" s="1180"/>
      <c r="I16" s="1154">
        <f>I11-((I11*I13)+(I11*I14)+(I11*I15))</f>
        <v>34150337.752369285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83</v>
      </c>
      <c r="O18" s="1124" t="s">
        <v>590</v>
      </c>
      <c r="P18" s="1079">
        <f>MATCH(Application!T189,Application!BV490:BV547,0)</f>
        <v>33</v>
      </c>
      <c r="S18" s="1101">
        <f>SUM(Cdlac[Population])</f>
        <v>50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1" t="s">
        <v>2296</v>
      </c>
      <c r="D20" s="2161" t="s">
        <v>2297</v>
      </c>
      <c r="E20" s="2161" t="s">
        <v>2298</v>
      </c>
      <c r="F20" s="2161" t="s">
        <v>2299</v>
      </c>
      <c r="G20" s="2161" t="s">
        <v>2295</v>
      </c>
      <c r="H20" s="1108"/>
      <c r="I20" s="1107"/>
      <c r="L20" s="1079">
        <f>IFERROR(MIN(4,MATCH(Application!B718,UnitSizes,0)-1),"")</f>
        <v>1</v>
      </c>
      <c r="M20" s="1101">
        <f>Application!G718</f>
        <v>16</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16</v>
      </c>
      <c r="T20" s="1079" t="b">
        <f>AND('Subsidy Contract Calculation'!F4&gt;0,'Subsidy Contract Calculation'!C4="Federal",Cdlac[[#This Row],[Quantity]]&gt;0)</f>
        <v>1</v>
      </c>
    </row>
    <row r="21" spans="1:20" ht="15" customHeight="1">
      <c r="A21" s="1084"/>
      <c r="C21" s="2162"/>
      <c r="D21" s="2162"/>
      <c r="E21" s="2162"/>
      <c r="F21" s="2162"/>
      <c r="G21" s="2162"/>
      <c r="H21" s="1108"/>
      <c r="I21" s="1107"/>
      <c r="L21" s="1079">
        <f>IFERROR(MIN(4,MATCH(Application!B719,UnitSizes,0)-1),"")</f>
        <v>2</v>
      </c>
      <c r="M21" s="1101">
        <f>Application!G719</f>
        <v>30</v>
      </c>
      <c r="N21" s="1109">
        <f>Application!AC719</f>
        <v>0.3</v>
      </c>
      <c r="O21" s="1109">
        <f>IF(Cdlac[[#This Row],[Quantity]]&gt;0,IF(Cdlac[[#This Row],[Federal]],30%,IF($G$36,40%,Cdlac[[#This Row],[iAMI]])),"")</f>
        <v>0.3</v>
      </c>
      <c r="P21" s="1101" cm="1">
        <f t="array" ref="P21">IF(Cdlac[[#This Row],[Quantity]]&gt;0,INDEX(TcacRents,$P$18,Cdlac[[#This Row],[Bedrooms]]+1)*Cdlac[[#This Row],[AMI]],"")</f>
        <v>628.79999999999995</v>
      </c>
      <c r="Q21" s="1101" cm="1">
        <f t="array" ref="Q21">IF(Cdlac[[#This Row],[Quantity]]&gt;0,INDEX(HudFmrs,$P$18,Cdlac[[#This Row],[Bedrooms]]+1),"")</f>
        <v>1751</v>
      </c>
      <c r="R21" s="1101">
        <f>IF(Cdlac[[#This Row],[Quantity]]&gt;0,MAX(0,Cdlac[[#This Row],[Fair Market Rent]]-Cdlac[[#This Row],[Restricted Rent]]),"")</f>
        <v>1122.2</v>
      </c>
      <c r="S21" s="1079">
        <f>IF(Cdlac[[#This Row],[Quantity]]&gt;0,AND(Application!AK719&lt;&gt;"N/A",Application!AK719&lt;&gt;"")*Cdlac[[#This Row],[Quantity]],"")</f>
        <v>30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726.6</v>
      </c>
      <c r="Q22" s="1101" cm="1">
        <f t="array" ref="Q22">IF(Cdlac[[#This Row],[Quantity]]&gt;0,INDEX(HudFmrs,$P$18,Cdlac[[#This Row],[Bedrooms]]+1),"")</f>
        <v>2376</v>
      </c>
      <c r="R22" s="1101">
        <f>IF(Cdlac[[#This Row],[Quantity]]&gt;0,MAX(0,Cdlac[[#This Row],[Fair Market Rent]]-Cdlac[[#This Row],[Restricted Rent]]),"")</f>
        <v>1649.4</v>
      </c>
      <c r="S22" s="1079">
        <f>IF(Cdlac[[#This Row],[Quantity]]&gt;0,AND(Application!AK720&lt;&gt;"N/A",Application!AK720&lt;&gt;"")*Cdlac[[#This Row],[Quantity]],"")</f>
        <v>4</v>
      </c>
      <c r="T22" s="1079" t="b">
        <f>AND('Subsidy Contract Calculation'!F6&gt;0,'Subsidy Contract Calculation'!C6="Federal",Cdlac[[#This Row],[Quantity]]&gt;0)</f>
        <v>1</v>
      </c>
    </row>
    <row r="23" spans="1:20" ht="15" customHeight="1">
      <c r="C23" s="1110">
        <v>1</v>
      </c>
      <c r="D23" s="1111">
        <v>1</v>
      </c>
      <c r="E23" s="1110">
        <f>SUMIFS(Cdlac[Quantity],Cdlac[Bedrooms],C23)</f>
        <v>16</v>
      </c>
      <c r="F23" s="1110">
        <f>E23</f>
        <v>16</v>
      </c>
      <c r="G23" s="1110">
        <f>D23*F23</f>
        <v>16</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39</v>
      </c>
      <c r="F24" s="1113">
        <f>SUM(E24:E26)-SUM(F25:F26)</f>
        <v>43</v>
      </c>
      <c r="G24" s="1110">
        <f>D24*F24</f>
        <v>53.75</v>
      </c>
      <c r="H24" s="1112"/>
      <c r="I24" s="1112"/>
      <c r="L24" s="1079">
        <f>IFERROR(MIN(4,MATCH(Application!B722,UnitSizes,0)-1),"")</f>
        <v>2</v>
      </c>
      <c r="M24" s="1101">
        <f>Application!G722</f>
        <v>9</v>
      </c>
      <c r="N24" s="1109">
        <f>Application!AC722</f>
        <v>0.5</v>
      </c>
      <c r="O24" s="1109">
        <f>IF(Cdlac[[#This Row],[Quantity]]&gt;0,IF(Cdlac[[#This Row],[Federal]],30%,IF($G$36,40%,Cdlac[[#This Row],[iAMI]])),"")</f>
        <v>0.3</v>
      </c>
      <c r="P24" s="1101" cm="1">
        <f t="array" ref="P24">IF(Cdlac[[#This Row],[Quantity]]&gt;0,INDEX(TcacRents,$P$18,Cdlac[[#This Row],[Bedrooms]]+1)*Cdlac[[#This Row],[AMI]],"")</f>
        <v>628.79999999999995</v>
      </c>
      <c r="Q24" s="1101" cm="1">
        <f t="array" ref="Q24">IF(Cdlac[[#This Row],[Quantity]]&gt;0,INDEX(HudFmrs,$P$18,Cdlac[[#This Row],[Bedrooms]]+1),"")</f>
        <v>1751</v>
      </c>
      <c r="R24" s="1101">
        <f>IF(Cdlac[[#This Row],[Quantity]]&gt;0,MAX(0,Cdlac[[#This Row],[Fair Market Rent]]-Cdlac[[#This Row],[Restricted Rent]]),"")</f>
        <v>1122.2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28</v>
      </c>
      <c r="F25" s="1113">
        <f>MIN(E25,ROUNDDOWN(E27*30%,0))</f>
        <v>24</v>
      </c>
      <c r="G25" s="1110">
        <f>D25*F25</f>
        <v>36</v>
      </c>
      <c r="H25" s="1112"/>
      <c r="I25" s="1112"/>
      <c r="L25" s="1079">
        <f>IFERROR(MIN(4,MATCH(Application!B723,UnitSizes,0)-1),"")</f>
        <v>3</v>
      </c>
      <c r="M25" s="1101">
        <f>Application!G723</f>
        <v>12</v>
      </c>
      <c r="N25" s="1109">
        <f>Application!AC723</f>
        <v>0.5</v>
      </c>
      <c r="O25" s="1109">
        <f>IF(Cdlac[[#This Row],[Quantity]]&gt;0,IF(Cdlac[[#This Row],[Federal]],30%,IF($G$36,40%,Cdlac[[#This Row],[iAMI]])),"")</f>
        <v>0.3</v>
      </c>
      <c r="P25" s="1101" cm="1">
        <f t="array" ref="P25">IF(Cdlac[[#This Row],[Quantity]]&gt;0,INDEX(TcacRents,$P$18,Cdlac[[#This Row],[Bedrooms]]+1)*Cdlac[[#This Row],[AMI]],"")</f>
        <v>726.6</v>
      </c>
      <c r="Q25" s="1101" cm="1">
        <f t="array" ref="Q25">IF(Cdlac[[#This Row],[Quantity]]&gt;0,INDEX(HudFmrs,$P$18,Cdlac[[#This Row],[Bedrooms]]+1),"")</f>
        <v>2376</v>
      </c>
      <c r="R25" s="1101">
        <f>IF(Cdlac[[#This Row],[Quantity]]&gt;0,MAX(0,Cdlac[[#This Row],[Fair Market Rent]]-Cdlac[[#This Row],[Restricted Rent]]),"")</f>
        <v>1649.4</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12</v>
      </c>
      <c r="N26" s="1109">
        <f>Application!AC724</f>
        <v>0.5</v>
      </c>
      <c r="O26" s="1109">
        <f>IF(Cdlac[[#This Row],[Quantity]]&gt;0,IF(Cdlac[[#This Row],[Federal]],30%,IF($G$36,40%,Cdlac[[#This Row],[iAMI]])),"")</f>
        <v>0.5</v>
      </c>
      <c r="P26" s="1101" cm="1">
        <f t="array" ref="P26">IF(Cdlac[[#This Row],[Quantity]]&gt;0,INDEX(TcacRents,$P$18,Cdlac[[#This Row],[Bedrooms]]+1)*Cdlac[[#This Row],[AMI]],"")</f>
        <v>1211</v>
      </c>
      <c r="Q26" s="1101" cm="1">
        <f t="array" ref="Q26">IF(Cdlac[[#This Row],[Quantity]]&gt;0,INDEX(HudFmrs,$P$18,Cdlac[[#This Row],[Bedrooms]]+1),"")</f>
        <v>2376</v>
      </c>
      <c r="R26" s="1101">
        <f>IF(Cdlac[[#This Row],[Quantity]]&gt;0,MAX(0,Cdlac[[#This Row],[Fair Market Rent]]-Cdlac[[#This Row],[Restricted Rent]]),"")</f>
        <v>1165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5" t="s">
        <v>1698</v>
      </c>
      <c r="D27" s="2146"/>
      <c r="E27" s="1129">
        <f>SUM(E22:E26)</f>
        <v>83</v>
      </c>
      <c r="F27" s="1129">
        <f>SUM(F22:F26)</f>
        <v>83</v>
      </c>
      <c r="G27" s="1130">
        <f>SUMPRODUCT(D22:D26,F22:F26)</f>
        <v>105.75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105.75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5287500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98113.8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17660484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41</v>
      </c>
    </row>
    <row r="46" spans="2:20" ht="15" customHeight="1">
      <c r="E46" s="1159"/>
      <c r="G46" s="1167"/>
    </row>
    <row r="47" spans="2:20" ht="15" customHeight="1">
      <c r="E47" s="1159" t="s">
        <v>2257</v>
      </c>
      <c r="G47" s="1156">
        <f>MIN(G44:G45)</f>
        <v>41</v>
      </c>
    </row>
    <row r="48" spans="2:20" ht="15" customHeight="1">
      <c r="E48" s="1159" t="s">
        <v>2247</v>
      </c>
      <c r="F48" s="1155" t="s">
        <v>2304</v>
      </c>
      <c r="G48" s="1166">
        <v>10000</v>
      </c>
    </row>
    <row r="49" spans="2:14" ht="15" customHeight="1">
      <c r="E49" s="1160" t="s">
        <v>2287</v>
      </c>
      <c r="F49" s="1081"/>
      <c r="G49" s="1165">
        <f>G47*G48</f>
        <v>410000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50</v>
      </c>
    </row>
    <row r="54" spans="2:14" ht="15" customHeight="1">
      <c r="E54" s="1159" t="s">
        <v>2306</v>
      </c>
      <c r="G54" s="1117">
        <f>ROUNDDOWN(E27*50%,0)</f>
        <v>41</v>
      </c>
    </row>
    <row r="55" spans="2:14" ht="15" customHeight="1">
      <c r="E55" s="1159"/>
      <c r="G55" s="1117"/>
    </row>
    <row r="56" spans="2:14" ht="15" customHeight="1">
      <c r="E56" s="1159" t="s">
        <v>2257</v>
      </c>
      <c r="G56" s="1156">
        <f>MIN(G53:G54)</f>
        <v>41</v>
      </c>
    </row>
    <row r="57" spans="2:14" ht="15" customHeight="1">
      <c r="E57" s="1159" t="s">
        <v>2247</v>
      </c>
      <c r="F57" s="1155" t="s">
        <v>2304</v>
      </c>
      <c r="G57" s="1166">
        <v>20000</v>
      </c>
    </row>
    <row r="58" spans="2:14" ht="15" customHeight="1">
      <c r="E58" s="1160" t="s">
        <v>2286</v>
      </c>
      <c r="F58" s="1081"/>
      <c r="G58" s="1165">
        <f>G56*G57</f>
        <v>820000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47" t="s">
        <v>1516</v>
      </c>
      <c r="N62" s="2148"/>
    </row>
    <row r="63" spans="2:14" ht="15" customHeight="1">
      <c r="E63" s="1124" t="s">
        <v>2247</v>
      </c>
      <c r="F63" s="1155" t="s">
        <v>2304</v>
      </c>
      <c r="G63" s="1114">
        <v>4000</v>
      </c>
      <c r="L63" s="1170" t="str">
        <f>'Points System'!H639</f>
        <v>(ii)</v>
      </c>
      <c r="M63" s="2139" t="s">
        <v>2261</v>
      </c>
      <c r="N63" s="2140"/>
    </row>
    <row r="64" spans="2:14" ht="15" customHeight="1">
      <c r="E64" s="1124" t="s">
        <v>2308</v>
      </c>
      <c r="F64" s="1155" t="s">
        <v>2304</v>
      </c>
      <c r="G64" s="1168">
        <f>G27</f>
        <v>105.75</v>
      </c>
      <c r="L64" s="1170" t="str">
        <f>'Points System'!H674</f>
        <v>N/A</v>
      </c>
      <c r="M64" s="2139" t="s">
        <v>2262</v>
      </c>
      <c r="N64" s="2140"/>
    </row>
    <row r="65" spans="2:14" ht="15" customHeight="1">
      <c r="E65" s="1160" t="s">
        <v>2266</v>
      </c>
      <c r="F65" s="1081"/>
      <c r="G65" s="1165">
        <f>G62*G63*G64</f>
        <v>1692000</v>
      </c>
      <c r="L65" s="1170" t="str">
        <f>IF(OR('Points System'!H698="(ii)",'Points System'!H698="(i)"),"(i)","N/A")</f>
        <v>(i)</v>
      </c>
      <c r="M65" s="2139" t="s">
        <v>2263</v>
      </c>
      <c r="N65" s="2140"/>
    </row>
    <row r="66" spans="2:14" ht="15" customHeight="1">
      <c r="C66" s="1115"/>
      <c r="G66" s="1156"/>
      <c r="L66" s="1171" t="str">
        <f>'Points System'!H712</f>
        <v>N/A</v>
      </c>
      <c r="M66" s="2139" t="s">
        <v>1542</v>
      </c>
      <c r="N66" s="2140"/>
    </row>
    <row r="67" spans="2:14" ht="15" customHeight="1">
      <c r="E67" s="1124" t="s">
        <v>2309</v>
      </c>
      <c r="G67" s="1168">
        <f>COUNTIFS(L62:L69,"(i)")</f>
        <v>2</v>
      </c>
      <c r="L67" s="1170" t="str">
        <f>'Points System'!H724</f>
        <v>N/A</v>
      </c>
      <c r="M67" s="2139" t="s">
        <v>2264</v>
      </c>
      <c r="N67" s="2140"/>
    </row>
    <row r="68" spans="2:14" ht="15" customHeight="1">
      <c r="E68" s="1124" t="s">
        <v>2247</v>
      </c>
      <c r="F68" s="1155" t="s">
        <v>2304</v>
      </c>
      <c r="G68" s="1166">
        <v>4000</v>
      </c>
      <c r="L68" s="1170" t="str">
        <f>'Points System'!H740</f>
        <v>(ii)</v>
      </c>
      <c r="M68" s="2139" t="s">
        <v>2265</v>
      </c>
      <c r="N68" s="2140"/>
    </row>
    <row r="69" spans="2:14" ht="15" customHeight="1" thickBot="1">
      <c r="E69" s="1160" t="s">
        <v>2267</v>
      </c>
      <c r="F69" s="1081"/>
      <c r="G69" s="1165">
        <f>G64*G67*G68</f>
        <v>846000</v>
      </c>
      <c r="L69" s="1172" t="str">
        <f>'Points System'!H752</f>
        <v>(ii)</v>
      </c>
      <c r="M69" s="2141" t="s">
        <v>1545</v>
      </c>
      <c r="N69" s="2142"/>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105.75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2538000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43" t="s">
        <v>2274</v>
      </c>
      <c r="M87" s="2144"/>
      <c r="N87" s="1173">
        <v>30000</v>
      </c>
    </row>
    <row r="88" spans="2:14" ht="15" customHeight="1">
      <c r="C88" s="1115" t="s">
        <v>2291</v>
      </c>
      <c r="G88" s="1119" t="str">
        <f>IF(Application!D211="Large Family","Yes","No")</f>
        <v>Yes</v>
      </c>
      <c r="L88" s="2135" t="s">
        <v>2238</v>
      </c>
      <c r="M88" s="2136"/>
      <c r="N88" s="1174">
        <v>20000</v>
      </c>
    </row>
    <row r="89" spans="2:14" ht="15" customHeight="1" thickBot="1">
      <c r="C89" s="1115" t="s">
        <v>2272</v>
      </c>
      <c r="G89" s="1078"/>
      <c r="L89" s="2137" t="s">
        <v>2275</v>
      </c>
      <c r="M89" s="2138"/>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105.75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105.75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2312</v>
      </c>
      <c r="G113" s="1116">
        <f>MEDIAN((Application!BR806:BR863))</f>
        <v>489600</v>
      </c>
    </row>
    <row r="114" spans="4:9" ht="15" customHeight="1">
      <c r="D114" s="1081"/>
      <c r="E114" s="1160" t="s">
        <v>2314</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9" zoomScale="94" zoomScaleNormal="100" workbookViewId="0">
      <selection activeCell="S15" sqref="S15:W1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25" t="s">
        <v>2413</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2460</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1" t="str">
        <f>IF(Application!H18="","",Application!H18)</f>
        <v>Villa Verde</v>
      </c>
      <c r="M4" s="2232"/>
      <c r="N4" s="2232"/>
      <c r="O4" s="2232"/>
      <c r="P4" s="2232"/>
      <c r="Q4" s="2232"/>
      <c r="R4" s="2232"/>
      <c r="S4" s="2232"/>
      <c r="T4" s="2232"/>
      <c r="U4" s="2232"/>
      <c r="V4" s="2232"/>
      <c r="W4" s="2232"/>
      <c r="X4" s="2232"/>
      <c r="Y4" s="2232"/>
      <c r="Z4" s="2232"/>
      <c r="AA4" s="2232"/>
      <c r="AB4" s="2232"/>
      <c r="AC4" s="2233"/>
      <c r="AD4" s="1209"/>
      <c r="AE4" s="1209"/>
      <c r="AF4" s="2234" t="s">
        <v>2461</v>
      </c>
      <c r="AG4" s="2234"/>
      <c r="AH4" s="2234"/>
      <c r="AI4" s="2234"/>
      <c r="AJ4" s="2234"/>
      <c r="AK4" s="2234"/>
      <c r="AL4" s="2234"/>
      <c r="AM4" s="2234"/>
      <c r="AN4" s="2234"/>
      <c r="AO4" s="2234"/>
      <c r="AP4" s="2235"/>
      <c r="AQ4" s="2236"/>
      <c r="AR4" s="2236"/>
      <c r="AS4" s="2236"/>
      <c r="AT4" s="2236"/>
      <c r="AU4" s="223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4" t="s">
        <v>2462</v>
      </c>
      <c r="AG5" s="2234"/>
      <c r="AH5" s="2234"/>
      <c r="AI5" s="2234"/>
      <c r="AJ5" s="2234"/>
      <c r="AK5" s="2234"/>
      <c r="AL5" s="2234"/>
      <c r="AM5" s="2234"/>
      <c r="AN5" s="2234"/>
      <c r="AO5" s="2234"/>
      <c r="AP5" s="2235"/>
      <c r="AQ5" s="2236"/>
      <c r="AR5" s="2236"/>
      <c r="AS5" s="2236"/>
      <c r="AT5" s="2236"/>
      <c r="AU5" s="2236"/>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1" t="str">
        <f>IF(Application!H16="","",Application!H16)</f>
        <v>Abode Communities</v>
      </c>
      <c r="M6" s="2232"/>
      <c r="N6" s="2232"/>
      <c r="O6" s="2232"/>
      <c r="P6" s="2232"/>
      <c r="Q6" s="2232"/>
      <c r="R6" s="2232"/>
      <c r="S6" s="2232"/>
      <c r="T6" s="2232"/>
      <c r="U6" s="2232"/>
      <c r="V6" s="2232"/>
      <c r="W6" s="2232"/>
      <c r="X6" s="2232"/>
      <c r="Y6" s="2232"/>
      <c r="Z6" s="2232"/>
      <c r="AA6" s="2232"/>
      <c r="AB6" s="2232"/>
      <c r="AC6" s="2233"/>
      <c r="AD6" s="1209"/>
      <c r="AE6" s="1209"/>
      <c r="AF6" s="2237" t="s">
        <v>2463</v>
      </c>
      <c r="AG6" s="2237"/>
      <c r="AH6" s="2237"/>
      <c r="AI6" s="2237"/>
      <c r="AJ6" s="2237"/>
      <c r="AK6" s="2237"/>
      <c r="AL6" s="2237"/>
      <c r="AM6" s="2237"/>
      <c r="AN6" s="2237"/>
      <c r="AO6" s="2237"/>
      <c r="AP6" s="2224">
        <v>0</v>
      </c>
      <c r="AQ6" s="2224"/>
      <c r="AR6" s="2224"/>
      <c r="AS6" s="2224"/>
      <c r="AT6" s="2224"/>
      <c r="AU6" s="222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7" t="s">
        <v>2464</v>
      </c>
      <c r="AG7" s="2237"/>
      <c r="AH7" s="2237"/>
      <c r="AI7" s="2237"/>
      <c r="AJ7" s="2237"/>
      <c r="AK7" s="2237"/>
      <c r="AL7" s="2237"/>
      <c r="AM7" s="2237"/>
      <c r="AN7" s="2237"/>
      <c r="AO7" s="2237"/>
      <c r="AP7" s="2224">
        <v>0</v>
      </c>
      <c r="AQ7" s="2224"/>
      <c r="AR7" s="2224"/>
      <c r="AS7" s="2224"/>
      <c r="AT7" s="2224"/>
      <c r="AU7" s="2224"/>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38" t="str">
        <f>Application!T197</f>
        <v>No</v>
      </c>
      <c r="AC8" s="2239"/>
      <c r="AD8" s="2240"/>
      <c r="AE8" s="1209"/>
      <c r="AF8" s="2237" t="s">
        <v>2465</v>
      </c>
      <c r="AG8" s="2237"/>
      <c r="AH8" s="2237"/>
      <c r="AI8" s="2237"/>
      <c r="AJ8" s="2237"/>
      <c r="AK8" s="2237"/>
      <c r="AL8" s="2237"/>
      <c r="AM8" s="2237"/>
      <c r="AN8" s="2237"/>
      <c r="AO8" s="2237"/>
      <c r="AP8" s="2224" t="s">
        <v>2417</v>
      </c>
      <c r="AQ8" s="2224"/>
      <c r="AR8" s="2224"/>
      <c r="AS8" s="2224"/>
      <c r="AT8" s="2224"/>
      <c r="AU8" s="222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4" t="s">
        <v>2625</v>
      </c>
      <c r="AG9" s="2234"/>
      <c r="AH9" s="2234"/>
      <c r="AI9" s="2234"/>
      <c r="AJ9" s="2234"/>
      <c r="AK9" s="2234"/>
      <c r="AL9" s="2234"/>
      <c r="AM9" s="2234"/>
      <c r="AN9" s="2234"/>
      <c r="AO9" s="2234"/>
      <c r="AP9" s="2235"/>
      <c r="AQ9" s="2236"/>
      <c r="AR9" s="2236"/>
      <c r="AS9" s="2236"/>
      <c r="AT9" s="2236"/>
      <c r="AU9" s="2236"/>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49">
        <f>Application!AO627</f>
        <v>6337000</v>
      </c>
      <c r="O10" s="2249"/>
      <c r="P10" s="2249"/>
      <c r="Q10" s="2249"/>
      <c r="R10" s="2249"/>
      <c r="S10" s="2249"/>
      <c r="T10" s="2249"/>
      <c r="U10" s="1209"/>
      <c r="V10" s="1209"/>
      <c r="W10" s="1209"/>
      <c r="X10" s="1258"/>
      <c r="Y10" s="1258"/>
      <c r="Z10" s="1258"/>
      <c r="AA10" s="1258"/>
      <c r="AB10" s="1258"/>
      <c r="AC10" s="1258"/>
      <c r="AD10" s="1258"/>
      <c r="AE10" s="1258"/>
      <c r="AF10" s="2234" t="s">
        <v>2624</v>
      </c>
      <c r="AG10" s="2234"/>
      <c r="AH10" s="2234"/>
      <c r="AI10" s="2234"/>
      <c r="AJ10" s="2234"/>
      <c r="AK10" s="2234"/>
      <c r="AL10" s="2234"/>
      <c r="AM10" s="2234"/>
      <c r="AN10" s="2234"/>
      <c r="AO10" s="2234"/>
      <c r="AP10" s="2235"/>
      <c r="AQ10" s="2236"/>
      <c r="AR10" s="2236"/>
      <c r="AS10" s="2236"/>
      <c r="AT10" s="2236"/>
      <c r="AU10" s="2236"/>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49">
        <f>Application!AA933</f>
        <v>0</v>
      </c>
      <c r="O11" s="2249"/>
      <c r="P11" s="2249"/>
      <c r="Q11" s="2249"/>
      <c r="R11" s="2249"/>
      <c r="S11" s="2249"/>
      <c r="T11" s="2249"/>
      <c r="U11" s="1209"/>
      <c r="V11" s="1209"/>
      <c r="W11" s="1209"/>
      <c r="X11" s="1258"/>
      <c r="Y11" s="1258"/>
      <c r="Z11" s="1258"/>
      <c r="AA11" s="1258"/>
      <c r="AB11" s="1258"/>
      <c r="AC11" s="1258"/>
      <c r="AD11" s="1258"/>
      <c r="AE11" s="1258"/>
      <c r="AF11" s="2234" t="s">
        <v>2623</v>
      </c>
      <c r="AG11" s="2234"/>
      <c r="AH11" s="2234"/>
      <c r="AI11" s="2234"/>
      <c r="AJ11" s="2234"/>
      <c r="AK11" s="2234"/>
      <c r="AL11" s="2234"/>
      <c r="AM11" s="2234"/>
      <c r="AN11" s="2234"/>
      <c r="AO11" s="2234"/>
      <c r="AP11" s="2235"/>
      <c r="AQ11" s="2236"/>
      <c r="AR11" s="2236"/>
      <c r="AS11" s="2236"/>
      <c r="AT11" s="2236"/>
      <c r="AU11" s="2236"/>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56" t="s">
        <v>1794</v>
      </c>
      <c r="C13" s="2257"/>
      <c r="D13" s="2257"/>
      <c r="E13" s="2257"/>
      <c r="F13" s="2257"/>
      <c r="G13" s="2257"/>
      <c r="H13" s="2257"/>
      <c r="I13" s="2257"/>
      <c r="J13" s="2257"/>
      <c r="K13" s="2257"/>
      <c r="L13" s="2257"/>
      <c r="M13" s="2257"/>
      <c r="N13" s="2257"/>
      <c r="O13" s="2257"/>
      <c r="P13" s="2258"/>
      <c r="Q13" s="2259" t="s">
        <v>677</v>
      </c>
      <c r="R13" s="2260"/>
      <c r="S13" s="2260"/>
      <c r="T13" s="2261"/>
      <c r="U13" s="1258"/>
      <c r="V13" s="1209"/>
      <c r="W13" s="1209"/>
      <c r="X13" s="1209"/>
      <c r="Y13" s="1209"/>
      <c r="Z13" s="1209"/>
      <c r="AA13" s="2250" t="s">
        <v>2467</v>
      </c>
      <c r="AB13" s="2250"/>
      <c r="AC13" s="2250"/>
      <c r="AD13" s="2250"/>
      <c r="AE13" s="2250"/>
      <c r="AF13" s="2250"/>
      <c r="AG13" s="2250"/>
      <c r="AH13" s="2250"/>
      <c r="AI13" s="2250"/>
      <c r="AJ13" s="2250"/>
      <c r="AK13" s="2250"/>
      <c r="AL13" s="2250"/>
      <c r="AM13" s="2250"/>
      <c r="AN13" s="2250"/>
      <c r="AO13" s="2251">
        <f>Application!W473</f>
        <v>19</v>
      </c>
      <c r="AP13" s="2252"/>
      <c r="AQ13" s="2252"/>
      <c r="AR13" s="2252"/>
      <c r="AS13" s="2252"/>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3" t="s">
        <v>2469</v>
      </c>
      <c r="AB14" s="2253"/>
      <c r="AC14" s="2253"/>
      <c r="AD14" s="2253"/>
      <c r="AE14" s="2253"/>
      <c r="AF14" s="2253"/>
      <c r="AG14" s="2253"/>
      <c r="AH14" s="2253"/>
      <c r="AI14" s="2253"/>
      <c r="AJ14" s="2253"/>
      <c r="AK14" s="2253"/>
      <c r="AL14" s="2253"/>
      <c r="AM14" s="2253"/>
      <c r="AN14" s="2253"/>
      <c r="AO14" s="2254"/>
      <c r="AP14" s="2255"/>
      <c r="AQ14" s="2255"/>
      <c r="AR14" s="2255"/>
      <c r="AS14" s="2255"/>
      <c r="AT14" s="1258"/>
      <c r="AU14" s="1258"/>
      <c r="AV14" s="1258"/>
      <c r="AW14" s="1258"/>
      <c r="AX14" s="1258"/>
      <c r="AY14" s="1258"/>
      <c r="AZ14" s="1258"/>
      <c r="BA14" s="1258"/>
      <c r="BB14" s="1258"/>
      <c r="BC14" s="1258"/>
      <c r="BD14" s="1258"/>
      <c r="BE14" s="1205"/>
    </row>
    <row r="15" spans="1:65" thickBot="1">
      <c r="A15" s="1209"/>
      <c r="B15" s="2262" t="s">
        <v>1795</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8"/>
      <c r="Y15" s="1209"/>
      <c r="Z15" s="1209"/>
      <c r="AA15" s="2250" t="s">
        <v>2470</v>
      </c>
      <c r="AB15" s="2250"/>
      <c r="AC15" s="2250"/>
      <c r="AD15" s="2250"/>
      <c r="AE15" s="2250"/>
      <c r="AF15" s="2250"/>
      <c r="AG15" s="2250"/>
      <c r="AH15" s="2250"/>
      <c r="AI15" s="2250"/>
      <c r="AJ15" s="2250"/>
      <c r="AK15" s="2250"/>
      <c r="AL15" s="2250"/>
      <c r="AM15" s="2250"/>
      <c r="AN15" s="2250"/>
      <c r="AO15" s="2254"/>
      <c r="AP15" s="2255"/>
      <c r="AQ15" s="2255"/>
      <c r="AR15" s="2255"/>
      <c r="AS15" s="225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67" t="s">
        <v>1796</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9"/>
      <c r="BA17" s="1209"/>
      <c r="BB17" s="1209"/>
      <c r="BC17" s="1209"/>
      <c r="BD17" s="1209"/>
      <c r="BE17" s="1205"/>
      <c r="BF17" s="1201"/>
    </row>
    <row r="18" spans="1:58" ht="15.75" customHeight="1">
      <c r="A18" s="1209"/>
      <c r="B18" s="2270" t="s">
        <v>1797</v>
      </c>
      <c r="C18" s="2271"/>
      <c r="D18" s="2271"/>
      <c r="E18" s="2271"/>
      <c r="F18" s="2271"/>
      <c r="G18" s="2271"/>
      <c r="H18" s="2271"/>
      <c r="I18" s="2272"/>
      <c r="J18" s="2273" t="s">
        <v>1698</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1798</v>
      </c>
      <c r="AU18" s="2274"/>
      <c r="AV18" s="2274"/>
      <c r="AW18" s="2274"/>
      <c r="AX18" s="2274"/>
      <c r="AY18" s="2276"/>
      <c r="AZ18" s="1209"/>
      <c r="BA18" s="1209"/>
      <c r="BB18" s="1209"/>
      <c r="BC18" s="1209"/>
      <c r="BD18" s="1209"/>
      <c r="BE18" s="1205"/>
    </row>
    <row r="19" spans="1:58" ht="15">
      <c r="A19" s="1209"/>
      <c r="B19" s="2277">
        <v>0.3</v>
      </c>
      <c r="C19" s="2278"/>
      <c r="D19" s="2278"/>
      <c r="E19" s="2278"/>
      <c r="F19" s="2278"/>
      <c r="G19" s="2278"/>
      <c r="H19" s="2278"/>
      <c r="I19" s="2279"/>
      <c r="J19" s="2280">
        <f t="shared" ref="J19:J28" si="0">SUM(P19:AS19)</f>
        <v>50</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16</v>
      </c>
      <c r="W19" s="2281"/>
      <c r="X19" s="2281"/>
      <c r="Y19" s="2281"/>
      <c r="Z19" s="2281"/>
      <c r="AA19" s="2282"/>
      <c r="AB19" s="2280" cm="1">
        <f t="array" ref="AB19">SUMPRODUCT((Application!$B$714:$B$738 = 'CalHFA Addendum'!AB$18)*(Application!$AC$714:$AC$738 = 'CalHFA Addendum'!$B19),Application!$G$714:$G$738)</f>
        <v>30</v>
      </c>
      <c r="AC19" s="2281"/>
      <c r="AD19" s="2281"/>
      <c r="AE19" s="2281"/>
      <c r="AF19" s="2281"/>
      <c r="AG19" s="2282"/>
      <c r="AH19" s="2280" cm="1">
        <f t="array" ref="AH19">SUMPRODUCT((Application!$B$714:$B$738 = 'CalHFA Addendum'!AH$18)*(Application!$AC$714:$AC$738 = 'CalHFA Addendum'!$B19),Application!$G$714:$G$738)</f>
        <v>4</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0.60240963855421692</v>
      </c>
      <c r="AU19" s="2284"/>
      <c r="AV19" s="2284"/>
      <c r="AW19" s="2284"/>
      <c r="AX19" s="2284"/>
      <c r="AY19" s="2285"/>
      <c r="AZ19" s="1220"/>
      <c r="BA19" s="1209"/>
      <c r="BB19" s="1209"/>
      <c r="BC19" s="1209"/>
      <c r="BD19" s="1209"/>
      <c r="BE19" s="1205"/>
    </row>
    <row r="20" spans="1:58" ht="15" customHeight="1">
      <c r="A20" s="1209"/>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9"/>
      <c r="BA20" s="1209"/>
      <c r="BB20" s="1209"/>
      <c r="BC20" s="1209"/>
      <c r="BD20" s="1209"/>
      <c r="BE20" s="1205"/>
    </row>
    <row r="21" spans="1:58" ht="15">
      <c r="A21" s="1209"/>
      <c r="B21" s="2277">
        <v>0.5</v>
      </c>
      <c r="C21" s="2278"/>
      <c r="D21" s="2278"/>
      <c r="E21" s="2278"/>
      <c r="F21" s="2278"/>
      <c r="G21" s="2278"/>
      <c r="H21" s="2278"/>
      <c r="I21" s="2279"/>
      <c r="J21" s="2280">
        <f t="shared" si="0"/>
        <v>33</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9</v>
      </c>
      <c r="AC21" s="2281"/>
      <c r="AD21" s="2281"/>
      <c r="AE21" s="2281"/>
      <c r="AF21" s="2281"/>
      <c r="AG21" s="2282"/>
      <c r="AH21" s="2280" cm="1">
        <f t="array" ref="AH21">SUMPRODUCT((Application!$B$714:$B$738 = 'CalHFA Addendum'!AH$18)*(Application!$AC$714:$AC$738 = 'CalHFA Addendum'!$B21),Application!$G$714:$G$738)</f>
        <v>24</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0.39759036144578314</v>
      </c>
      <c r="AU21" s="2284"/>
      <c r="AV21" s="2284"/>
      <c r="AW21" s="2284"/>
      <c r="AX21" s="2284"/>
      <c r="AY21" s="2285"/>
      <c r="AZ21" s="1209"/>
      <c r="BA21" s="1209"/>
      <c r="BB21" s="1209"/>
      <c r="BC21" s="1209"/>
      <c r="BD21" s="1209"/>
      <c r="BE21" s="1205"/>
    </row>
    <row r="22" spans="1:58" ht="15">
      <c r="A22" s="1209"/>
      <c r="B22" s="2277">
        <v>0.6</v>
      </c>
      <c r="C22" s="2278"/>
      <c r="D22" s="2278"/>
      <c r="E22" s="2278"/>
      <c r="F22" s="2278"/>
      <c r="G22" s="2278"/>
      <c r="H22" s="2278"/>
      <c r="I22" s="2279"/>
      <c r="J22" s="2280">
        <f t="shared" si="0"/>
        <v>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v>
      </c>
      <c r="AU22" s="2284"/>
      <c r="AV22" s="2284"/>
      <c r="AW22" s="2284"/>
      <c r="AX22" s="2284"/>
      <c r="AY22" s="2285"/>
      <c r="AZ22" s="1209"/>
      <c r="BA22" s="1209"/>
      <c r="BB22" s="1209"/>
      <c r="BC22" s="1209"/>
      <c r="BD22" s="1209"/>
      <c r="BE22" s="1205"/>
    </row>
    <row r="23" spans="1:58" ht="15">
      <c r="A23" s="1209"/>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9"/>
      <c r="BA23" s="1209"/>
      <c r="BB23" s="1209"/>
      <c r="BC23" s="1209"/>
      <c r="BD23" s="1209"/>
      <c r="BE23" s="1205"/>
    </row>
    <row r="24" spans="1:58" ht="15">
      <c r="A24" s="1209"/>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9"/>
      <c r="BA24" s="1209"/>
      <c r="BB24" s="1209"/>
      <c r="BC24" s="1209"/>
      <c r="BD24" s="1209"/>
      <c r="BE24" s="1205"/>
    </row>
    <row r="25" spans="1:58" ht="15">
      <c r="A25" s="1209"/>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9"/>
      <c r="BA25" s="1209"/>
      <c r="BB25" s="1209"/>
      <c r="BC25" s="1209"/>
      <c r="BD25" s="1209"/>
      <c r="BE25" s="1205"/>
    </row>
    <row r="26" spans="1:58" ht="15">
      <c r="A26" s="1209"/>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9"/>
      <c r="BA26" s="1209"/>
      <c r="BB26" s="1209"/>
      <c r="BC26" s="1209"/>
      <c r="BD26" s="1209"/>
      <c r="BE26" s="1205"/>
    </row>
    <row r="27" spans="1:58" ht="15">
      <c r="A27" s="1209"/>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9"/>
      <c r="BA27" s="1209"/>
      <c r="BB27" s="1209"/>
      <c r="BC27" s="1209"/>
      <c r="BD27" s="1209"/>
      <c r="BE27" s="1205"/>
    </row>
    <row r="28" spans="1:58" thickBot="1">
      <c r="A28" s="1209"/>
      <c r="B28" s="2296" t="s">
        <v>1799</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9"/>
      <c r="BA28" s="1209"/>
      <c r="BB28" s="1209"/>
      <c r="BC28" s="1209"/>
      <c r="BD28" s="1209"/>
      <c r="BE28" s="1205"/>
    </row>
    <row r="29" spans="1:58" thickBot="1">
      <c r="A29" s="1209"/>
      <c r="B29" s="2311" t="s">
        <v>1698</v>
      </c>
      <c r="C29" s="2312"/>
      <c r="D29" s="2312"/>
      <c r="E29" s="2312"/>
      <c r="F29" s="2312"/>
      <c r="G29" s="2312"/>
      <c r="H29" s="2312"/>
      <c r="I29" s="2313"/>
      <c r="J29" s="2314">
        <f>SUM(J19:O28)</f>
        <v>83</v>
      </c>
      <c r="K29" s="2312"/>
      <c r="L29" s="2312"/>
      <c r="M29" s="2312"/>
      <c r="N29" s="2312"/>
      <c r="O29" s="2313"/>
      <c r="P29" s="2314">
        <f>SUM(P19:U28)</f>
        <v>0</v>
      </c>
      <c r="Q29" s="2312"/>
      <c r="R29" s="2312"/>
      <c r="S29" s="2312"/>
      <c r="T29" s="2312"/>
      <c r="U29" s="2313"/>
      <c r="V29" s="2314">
        <f>SUM(V19:AA28)</f>
        <v>16</v>
      </c>
      <c r="W29" s="2312"/>
      <c r="X29" s="2312"/>
      <c r="Y29" s="2312"/>
      <c r="Z29" s="2312"/>
      <c r="AA29" s="2313"/>
      <c r="AB29" s="2314">
        <f>SUM(AB19:AG28)</f>
        <v>39</v>
      </c>
      <c r="AC29" s="2312"/>
      <c r="AD29" s="2312"/>
      <c r="AE29" s="2312"/>
      <c r="AF29" s="2312"/>
      <c r="AG29" s="2313"/>
      <c r="AH29" s="2314">
        <f>SUM(AH19:AM28)</f>
        <v>28</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19" t="s">
        <v>1800</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5"/>
    </row>
    <row r="32" spans="1:58" thickBot="1">
      <c r="A32" s="1209"/>
      <c r="B32" s="2334" t="s">
        <v>2473</v>
      </c>
      <c r="C32" s="2335"/>
      <c r="D32" s="2335"/>
      <c r="E32" s="2335"/>
      <c r="F32" s="2335"/>
      <c r="G32" s="2335"/>
      <c r="H32" s="2335"/>
      <c r="I32" s="2335"/>
      <c r="J32" s="2305" t="s">
        <v>2474</v>
      </c>
      <c r="K32" s="2306"/>
      <c r="L32" s="2306"/>
      <c r="M32" s="2306"/>
      <c r="N32" s="2305" t="s">
        <v>1801</v>
      </c>
      <c r="O32" s="2306"/>
      <c r="P32" s="2306"/>
      <c r="Q32" s="2308"/>
      <c r="R32" s="2328" t="s">
        <v>1802</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5"/>
    </row>
    <row r="33" spans="1:58" ht="15" customHeight="1">
      <c r="A33" s="1209"/>
      <c r="B33" s="2336"/>
      <c r="C33" s="2337"/>
      <c r="D33" s="2337"/>
      <c r="E33" s="2337"/>
      <c r="F33" s="2337"/>
      <c r="G33" s="2337"/>
      <c r="H33" s="2337"/>
      <c r="I33" s="2337"/>
      <c r="J33" s="2307"/>
      <c r="K33" s="2307"/>
      <c r="L33" s="2307"/>
      <c r="M33" s="2307"/>
      <c r="N33" s="2307"/>
      <c r="O33" s="2307"/>
      <c r="P33" s="2307"/>
      <c r="Q33" s="2309"/>
      <c r="R33" s="2322" t="s">
        <v>1803</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5"/>
    </row>
    <row r="34" spans="1:58" ht="15.75" customHeight="1" thickBot="1">
      <c r="A34" s="1209"/>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5"/>
    </row>
    <row r="35" spans="1:58" ht="15.75" customHeight="1">
      <c r="A35" s="1209"/>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1804</v>
      </c>
      <c r="AT35" s="2293"/>
      <c r="AU35" s="2293"/>
      <c r="AV35" s="2293"/>
      <c r="AW35" s="2293"/>
      <c r="AX35" s="2294"/>
      <c r="AY35" s="2292" t="s">
        <v>1805</v>
      </c>
      <c r="AZ35" s="2293"/>
      <c r="BA35" s="2293"/>
      <c r="BB35" s="2293"/>
      <c r="BC35" s="2293"/>
      <c r="BD35" s="2295"/>
      <c r="BE35" s="1205"/>
    </row>
    <row r="36" spans="1:58" ht="15.75" customHeight="1">
      <c r="A36" s="1209"/>
      <c r="B36" s="2315" t="s">
        <v>1806</v>
      </c>
      <c r="C36" s="2316"/>
      <c r="D36" s="2316"/>
      <c r="E36" s="2316"/>
      <c r="F36" s="2316"/>
      <c r="G36" s="2316"/>
      <c r="H36" s="2316"/>
      <c r="I36" s="2316"/>
      <c r="J36" s="2317" t="s">
        <v>1807</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0.60240963855421692</v>
      </c>
      <c r="AZ36" s="2345"/>
      <c r="BA36" s="2345"/>
      <c r="BB36" s="2345"/>
      <c r="BC36" s="2345"/>
      <c r="BD36" s="2346"/>
      <c r="BE36" s="1205"/>
    </row>
    <row r="37" spans="1:58" ht="15.75" customHeight="1">
      <c r="A37" s="1209"/>
      <c r="B37" s="2315" t="s">
        <v>2475</v>
      </c>
      <c r="C37" s="2316"/>
      <c r="D37" s="2316"/>
      <c r="E37" s="2316"/>
      <c r="F37" s="2316"/>
      <c r="G37" s="2316"/>
      <c r="H37" s="2316"/>
      <c r="I37" s="2316"/>
      <c r="J37" s="2317" t="s">
        <v>1808</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0.12048192771084337</v>
      </c>
      <c r="AZ37" s="2345"/>
      <c r="BA37" s="2345"/>
      <c r="BB37" s="2345"/>
      <c r="BC37" s="2345"/>
      <c r="BD37" s="2346"/>
      <c r="BE37" s="1205"/>
    </row>
    <row r="38" spans="1:58" ht="15.75" customHeight="1">
      <c r="A38" s="1209"/>
      <c r="B38" s="2315" t="s">
        <v>2414</v>
      </c>
      <c r="C38" s="2316"/>
      <c r="D38" s="2316"/>
      <c r="E38" s="2316"/>
      <c r="F38" s="2316"/>
      <c r="G38" s="2316"/>
      <c r="H38" s="2316"/>
      <c r="I38" s="2316"/>
      <c r="J38" s="2317" t="s">
        <v>1809</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5"/>
    </row>
    <row r="39" spans="1:58" ht="15.75" customHeight="1">
      <c r="A39" s="1209"/>
      <c r="B39" s="2315" t="s">
        <v>1810</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5"/>
    </row>
    <row r="40" spans="1:58" ht="15.75" customHeight="1">
      <c r="A40" s="1209"/>
      <c r="B40" s="2315" t="s">
        <v>1810</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5"/>
    </row>
    <row r="41" spans="1:58" ht="15.75" customHeight="1">
      <c r="A41" s="1209"/>
      <c r="B41" s="2315" t="s">
        <v>1811</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5"/>
    </row>
    <row r="42" spans="1:58" ht="15.75" customHeight="1">
      <c r="A42" s="1209"/>
      <c r="B42" s="2315" t="s">
        <v>1811</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5"/>
    </row>
    <row r="43" spans="1:58" ht="15.75" customHeight="1">
      <c r="A43" s="1209"/>
      <c r="B43" s="2347" t="s">
        <v>1812</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5"/>
    </row>
    <row r="44" spans="1:58" ht="15.75" customHeight="1">
      <c r="A44" s="1209"/>
      <c r="B44" s="2347" t="s">
        <v>1813</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5"/>
    </row>
    <row r="45" spans="1:58" ht="15.75" customHeight="1">
      <c r="A45" s="1209"/>
      <c r="B45" s="2347" t="s">
        <v>1814</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5"/>
    </row>
    <row r="46" spans="1:58" ht="15.75" customHeight="1">
      <c r="A46" s="1209"/>
      <c r="B46" s="2347" t="s">
        <v>1815</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5"/>
    </row>
    <row r="47" spans="1:58" ht="15.75" customHeight="1" thickBot="1">
      <c r="A47" s="1209"/>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5" t="s">
        <v>1816</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0" t="s">
        <v>1817</v>
      </c>
      <c r="C51" s="2201"/>
      <c r="D51" s="2201"/>
      <c r="E51" s="2201"/>
      <c r="F51" s="2201"/>
      <c r="G51" s="2201"/>
      <c r="H51" s="2201"/>
      <c r="I51" s="2201"/>
      <c r="J51" s="2201" t="s">
        <v>2477</v>
      </c>
      <c r="K51" s="2201"/>
      <c r="L51" s="2201"/>
      <c r="M51" s="2201"/>
      <c r="N51" s="2201"/>
      <c r="O51" s="2201"/>
      <c r="P51" s="2201"/>
      <c r="Q51" s="2201"/>
      <c r="R51" s="2358" t="s">
        <v>2478</v>
      </c>
      <c r="S51" s="2358"/>
      <c r="T51" s="2358"/>
      <c r="U51" s="2358"/>
      <c r="V51" s="2358"/>
      <c r="W51" s="2358"/>
      <c r="X51" s="2358"/>
      <c r="Y51" s="2358"/>
      <c r="Z51" s="2358" t="s">
        <v>1818</v>
      </c>
      <c r="AA51" s="2358"/>
      <c r="AB51" s="2358"/>
      <c r="AC51" s="2358"/>
      <c r="AD51" s="2358"/>
      <c r="AE51" s="2358"/>
      <c r="AF51" s="2358"/>
      <c r="AG51" s="2358"/>
      <c r="AH51" s="2358" t="s">
        <v>1819</v>
      </c>
      <c r="AI51" s="2358"/>
      <c r="AJ51" s="2358"/>
      <c r="AK51" s="2358"/>
      <c r="AL51" s="2358"/>
      <c r="AM51" s="2358"/>
      <c r="AN51" s="2358"/>
      <c r="AO51" s="235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7" t="s">
        <v>2185</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7" t="s">
        <v>2186</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0" t="s">
        <v>1698</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2" t="s">
        <v>1817</v>
      </c>
      <c r="C59" s="2383"/>
      <c r="D59" s="2383"/>
      <c r="E59" s="2383"/>
      <c r="F59" s="2383"/>
      <c r="G59" s="2383"/>
      <c r="H59" s="2383"/>
      <c r="I59" s="2384"/>
      <c r="J59" s="2268" t="s">
        <v>2479</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9"/>
      <c r="AY59" s="1209"/>
      <c r="AZ59" s="1209"/>
      <c r="BA59" s="1209"/>
      <c r="BB59" s="1209"/>
      <c r="BC59" s="1209"/>
      <c r="BD59" s="1209"/>
      <c r="BE59" s="1205"/>
    </row>
    <row r="60" spans="1:58" ht="15.75" customHeight="1">
      <c r="A60" s="1209"/>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9"/>
      <c r="AY60" s="1209"/>
      <c r="AZ60" s="1209"/>
      <c r="BA60" s="1209"/>
      <c r="BB60" s="1209"/>
      <c r="BC60" s="1209"/>
      <c r="BD60" s="1209"/>
      <c r="BE60" s="1205"/>
    </row>
    <row r="61" spans="1:58" ht="15.75" customHeight="1">
      <c r="A61" s="1209"/>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9"/>
      <c r="AY61" s="1209"/>
      <c r="AZ61" s="1209"/>
      <c r="BA61" s="1209"/>
      <c r="BB61" s="1209"/>
      <c r="BC61" s="1209"/>
      <c r="BD61" s="1209"/>
      <c r="BE61" s="1205"/>
    </row>
    <row r="62" spans="1:58" ht="15.75" customHeight="1">
      <c r="A62" s="1209"/>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9"/>
      <c r="AY62" s="1209"/>
      <c r="AZ62" s="1209"/>
      <c r="BA62" s="1209"/>
      <c r="BB62" s="1209"/>
      <c r="BC62" s="1209"/>
      <c r="BD62" s="1209"/>
      <c r="BE62" s="1205"/>
    </row>
    <row r="63" spans="1:58" ht="15.75" customHeight="1">
      <c r="A63" s="1209"/>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9"/>
      <c r="AY63" s="1209"/>
      <c r="AZ63" s="1209"/>
      <c r="BA63" s="1209"/>
      <c r="BB63" s="1209"/>
      <c r="BC63" s="1209"/>
      <c r="BD63" s="1209"/>
      <c r="BE63" s="1205"/>
    </row>
    <row r="64" spans="1:58" ht="15.75" customHeight="1" thickBot="1">
      <c r="A64" s="1209"/>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7" t="s">
        <v>1821</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9"/>
      <c r="AC68" s="2460" t="s">
        <v>1822</v>
      </c>
      <c r="AD68" s="2461"/>
      <c r="AE68" s="2461"/>
      <c r="AF68" s="2461"/>
      <c r="AG68" s="2461"/>
      <c r="AH68" s="2461"/>
      <c r="AI68" s="2461"/>
      <c r="AJ68" s="2461"/>
      <c r="AK68" s="2461"/>
      <c r="AL68" s="2461"/>
      <c r="AM68" s="2461"/>
      <c r="AN68" s="2461"/>
      <c r="AO68" s="2461"/>
      <c r="AP68" s="2461"/>
      <c r="AQ68" s="2461"/>
      <c r="AR68" s="2461"/>
      <c r="AS68" s="2461"/>
      <c r="AT68" s="2461"/>
      <c r="AU68" s="2461"/>
      <c r="AV68" s="2587" t="s">
        <v>677</v>
      </c>
      <c r="AW68" s="2420"/>
      <c r="AX68" s="2420"/>
      <c r="AY68" s="2420"/>
      <c r="AZ68" s="2420"/>
      <c r="BA68" s="2420"/>
      <c r="BB68" s="2420"/>
      <c r="BC68" s="2421"/>
      <c r="BD68" s="1209"/>
      <c r="BE68" s="1205"/>
      <c r="BM68" s="1254" t="s">
        <v>2480</v>
      </c>
    </row>
    <row r="69" spans="1:65" ht="15.75" customHeight="1" thickTop="1" thickBot="1">
      <c r="A69" s="1209"/>
      <c r="B69" s="2588" t="s">
        <v>1823</v>
      </c>
      <c r="C69" s="2589"/>
      <c r="D69" s="2589"/>
      <c r="E69" s="2589"/>
      <c r="F69" s="2589"/>
      <c r="G69" s="2589"/>
      <c r="H69" s="2589"/>
      <c r="I69" s="2589"/>
      <c r="J69" s="2589"/>
      <c r="K69" s="2589"/>
      <c r="L69" s="2589"/>
      <c r="M69" s="2589"/>
      <c r="N69" s="2589"/>
      <c r="O69" s="2590" t="s">
        <v>1824</v>
      </c>
      <c r="P69" s="2591"/>
      <c r="Q69" s="2591"/>
      <c r="R69" s="2591"/>
      <c r="S69" s="2591"/>
      <c r="T69" s="2591"/>
      <c r="U69" s="2591"/>
      <c r="V69" s="2591"/>
      <c r="W69" s="2591"/>
      <c r="X69" s="2591"/>
      <c r="Y69" s="2591"/>
      <c r="Z69" s="2591"/>
      <c r="AA69" s="2592"/>
      <c r="AB69" s="1209"/>
      <c r="AC69" s="2593" t="s">
        <v>1825</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9"/>
      <c r="BE69" s="1205"/>
      <c r="BM69" s="1253" t="s">
        <v>553</v>
      </c>
    </row>
    <row r="70" spans="1:65" ht="15.75" customHeight="1">
      <c r="A70" s="1209"/>
      <c r="B70" s="2315" t="s">
        <v>2481</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9"/>
      <c r="AC70" s="2355" t="s">
        <v>1826</v>
      </c>
      <c r="AD70" s="2356"/>
      <c r="AE70" s="2356"/>
      <c r="AF70" s="2399"/>
      <c r="AG70" s="2399"/>
      <c r="AH70" s="2399"/>
      <c r="AI70" s="2399"/>
      <c r="AJ70" s="2399"/>
      <c r="AK70" s="2399"/>
      <c r="AL70" s="2399"/>
      <c r="AM70" s="2399"/>
      <c r="AN70" s="2399"/>
      <c r="AO70" s="2399"/>
      <c r="AP70" s="2399"/>
      <c r="AQ70" s="2399"/>
      <c r="AR70" s="2399"/>
      <c r="AS70" s="2399"/>
      <c r="AT70" s="2399"/>
      <c r="AU70" s="2400"/>
      <c r="AV70" s="1209"/>
      <c r="AW70" s="1209"/>
      <c r="AX70" s="1209"/>
      <c r="AY70" s="1209"/>
      <c r="AZ70" s="1209"/>
      <c r="BA70" s="1209"/>
      <c r="BB70" s="1209"/>
      <c r="BC70" s="1209"/>
      <c r="BD70" s="1209"/>
      <c r="BE70" s="1205"/>
      <c r="BM70" s="1252" t="s">
        <v>677</v>
      </c>
    </row>
    <row r="71" spans="1:65" ht="15.75" customHeight="1" thickBot="1">
      <c r="A71" s="1209"/>
      <c r="B71" s="2315" t="s">
        <v>2482</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9"/>
      <c r="AC71" s="2401" t="s">
        <v>1827</v>
      </c>
      <c r="AD71" s="2402"/>
      <c r="AE71" s="2402"/>
      <c r="AF71" s="2386"/>
      <c r="AG71" s="2386"/>
      <c r="AH71" s="2386"/>
      <c r="AI71" s="2386"/>
      <c r="AJ71" s="2386"/>
      <c r="AK71" s="2386"/>
      <c r="AL71" s="2386"/>
      <c r="AM71" s="2386"/>
      <c r="AN71" s="2386"/>
      <c r="AO71" s="2386"/>
      <c r="AP71" s="2386"/>
      <c r="AQ71" s="2386"/>
      <c r="AR71" s="2386"/>
      <c r="AS71" s="2386"/>
      <c r="AT71" s="2386"/>
      <c r="AU71" s="2387"/>
      <c r="AV71" s="1209"/>
      <c r="AW71" s="1209"/>
      <c r="AX71" s="1209"/>
      <c r="AY71" s="1209"/>
      <c r="AZ71" s="1209"/>
      <c r="BA71" s="1209"/>
      <c r="BB71" s="1209"/>
      <c r="BC71" s="1209"/>
      <c r="BD71" s="1209"/>
      <c r="BE71" s="1205"/>
      <c r="BM71" s="1200" t="s">
        <v>2483</v>
      </c>
    </row>
    <row r="72" spans="1:65" ht="15.75" customHeight="1">
      <c r="A72" s="1209"/>
      <c r="B72" s="2315" t="s">
        <v>2484</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9"/>
      <c r="AC72" s="2602" t="s">
        <v>2485</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9"/>
      <c r="BE72" s="1205"/>
    </row>
    <row r="73" spans="1:65" ht="15.75" customHeight="1">
      <c r="A73" s="1209"/>
      <c r="B73" s="2347" t="s">
        <v>2486</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9"/>
      <c r="AC73" s="2388" t="s">
        <v>2187</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9"/>
      <c r="BE73" s="1205"/>
    </row>
    <row r="74" spans="1:65" ht="15.75" customHeight="1">
      <c r="A74" s="1209"/>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9"/>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9"/>
      <c r="BE74" s="1205"/>
    </row>
    <row r="75" spans="1:65" ht="15.75" customHeight="1" thickBot="1">
      <c r="A75" s="1209"/>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9"/>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0"/>
      <c r="G79" s="2581"/>
      <c r="H79" s="2581"/>
      <c r="I79" s="2581"/>
      <c r="J79" s="2581"/>
      <c r="K79" s="2581"/>
      <c r="L79" s="2581"/>
      <c r="M79" s="2582"/>
      <c r="N79" s="2582"/>
      <c r="O79" s="2582"/>
      <c r="P79" s="2582"/>
      <c r="Q79" s="258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84" t="e">
        <f>BR96/SUM($BR$96:$BR$98)</f>
        <v>#DIV/0!</v>
      </c>
      <c r="P80" s="2585"/>
      <c r="Q80" s="258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598" t="s">
        <v>2553</v>
      </c>
      <c r="P81" s="2599"/>
      <c r="Q81" s="260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5" t="s">
        <v>2170</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9"/>
      <c r="AJ83" s="2241" t="s">
        <v>2620</v>
      </c>
      <c r="AK83" s="2242"/>
      <c r="AL83" s="2242"/>
      <c r="AM83" s="2242"/>
      <c r="AN83" s="2242"/>
      <c r="AO83" s="2242"/>
      <c r="AP83" s="2242"/>
      <c r="AQ83" s="2242"/>
      <c r="AR83" s="2242"/>
      <c r="AS83" s="2242"/>
      <c r="AT83" s="2242"/>
      <c r="AU83" s="2242"/>
      <c r="AV83" s="2242"/>
      <c r="AW83" s="2242"/>
      <c r="AX83" s="2242"/>
      <c r="AY83" s="2245" t="s">
        <v>553</v>
      </c>
      <c r="AZ83" s="2245"/>
      <c r="BA83" s="2245"/>
      <c r="BB83" s="2246"/>
      <c r="BC83" s="1209"/>
      <c r="BD83" s="1209"/>
      <c r="BE83" s="1205"/>
    </row>
    <row r="84" spans="1:70" ht="15.75" customHeight="1">
      <c r="A84" s="1209"/>
      <c r="B84" s="2200"/>
      <c r="C84" s="2201"/>
      <c r="D84" s="2201"/>
      <c r="E84" s="2201"/>
      <c r="F84" s="2201"/>
      <c r="G84" s="2201"/>
      <c r="H84" s="2201"/>
      <c r="I84" s="2201" t="s">
        <v>1828</v>
      </c>
      <c r="J84" s="2201"/>
      <c r="K84" s="2201"/>
      <c r="L84" s="2201"/>
      <c r="M84" s="2201"/>
      <c r="N84" s="2201"/>
      <c r="O84" s="2201" t="s">
        <v>1829</v>
      </c>
      <c r="P84" s="2201"/>
      <c r="Q84" s="2201"/>
      <c r="R84" s="2201"/>
      <c r="S84" s="2201"/>
      <c r="T84" s="2201"/>
      <c r="U84" s="2201"/>
      <c r="V84" s="2197" t="s">
        <v>2188</v>
      </c>
      <c r="W84" s="2197"/>
      <c r="X84" s="2197"/>
      <c r="Y84" s="2197"/>
      <c r="Z84" s="2197"/>
      <c r="AA84" s="2197"/>
      <c r="AB84" s="2198" t="s">
        <v>1830</v>
      </c>
      <c r="AC84" s="2198"/>
      <c r="AD84" s="2198"/>
      <c r="AE84" s="2198"/>
      <c r="AF84" s="2198"/>
      <c r="AG84" s="2198"/>
      <c r="AH84" s="2199"/>
      <c r="AI84" s="1209"/>
      <c r="AJ84" s="2243"/>
      <c r="AK84" s="2244"/>
      <c r="AL84" s="2244"/>
      <c r="AM84" s="2244"/>
      <c r="AN84" s="2244"/>
      <c r="AO84" s="2244"/>
      <c r="AP84" s="2244"/>
      <c r="AQ84" s="2244"/>
      <c r="AR84" s="2244"/>
      <c r="AS84" s="2244"/>
      <c r="AT84" s="2244"/>
      <c r="AU84" s="2244"/>
      <c r="AV84" s="2244"/>
      <c r="AW84" s="2244"/>
      <c r="AX84" s="2244"/>
      <c r="AY84" s="2247"/>
      <c r="AZ84" s="2247"/>
      <c r="BA84" s="2247"/>
      <c r="BB84" s="2248"/>
      <c r="BC84" s="1209"/>
      <c r="BD84" s="1209"/>
      <c r="BE84" s="1205"/>
    </row>
    <row r="85" spans="1:70" ht="15.75" customHeight="1">
      <c r="A85" s="1209"/>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9"/>
      <c r="AJ85" s="2243"/>
      <c r="AK85" s="2244"/>
      <c r="AL85" s="2244"/>
      <c r="AM85" s="2244"/>
      <c r="AN85" s="2244"/>
      <c r="AO85" s="2244"/>
      <c r="AP85" s="2244"/>
      <c r="AQ85" s="2244"/>
      <c r="AR85" s="2244"/>
      <c r="AS85" s="2244"/>
      <c r="AT85" s="2244"/>
      <c r="AU85" s="2244"/>
      <c r="AV85" s="2244"/>
      <c r="AW85" s="2244"/>
      <c r="AX85" s="2244"/>
      <c r="AY85" s="2247"/>
      <c r="AZ85" s="2247"/>
      <c r="BA85" s="2247"/>
      <c r="BB85" s="2248"/>
      <c r="BC85" s="1209"/>
      <c r="BD85" s="1209"/>
      <c r="BE85" s="1205"/>
    </row>
    <row r="86" spans="1:70" ht="15.75" customHeight="1">
      <c r="A86" s="1209"/>
      <c r="B86" s="2200" t="s">
        <v>2171</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9"/>
      <c r="AJ86" s="2243"/>
      <c r="AK86" s="2244"/>
      <c r="AL86" s="2244"/>
      <c r="AM86" s="2244"/>
      <c r="AN86" s="2244"/>
      <c r="AO86" s="2244"/>
      <c r="AP86" s="2244"/>
      <c r="AQ86" s="2244"/>
      <c r="AR86" s="2244"/>
      <c r="AS86" s="2244"/>
      <c r="AT86" s="2244"/>
      <c r="AU86" s="2244"/>
      <c r="AV86" s="2244"/>
      <c r="AW86" s="2244"/>
      <c r="AX86" s="2244"/>
      <c r="AY86" s="2247"/>
      <c r="AZ86" s="2247"/>
      <c r="BA86" s="2247"/>
      <c r="BB86" s="2248"/>
      <c r="BC86" s="1209"/>
      <c r="BD86" s="1209"/>
      <c r="BE86" s="1205"/>
    </row>
    <row r="87" spans="1:70" ht="15.75" customHeight="1">
      <c r="A87" s="1209"/>
      <c r="B87" s="2200" t="s">
        <v>2172</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9"/>
      <c r="AJ87" s="2214" t="s">
        <v>2487</v>
      </c>
      <c r="AK87" s="2215"/>
      <c r="AL87" s="2215"/>
      <c r="AM87" s="2215"/>
      <c r="AN87" s="2215"/>
      <c r="AO87" s="2215"/>
      <c r="AP87" s="2215"/>
      <c r="AQ87" s="2215"/>
      <c r="AR87" s="2215"/>
      <c r="AS87" s="2215"/>
      <c r="AT87" s="2215"/>
      <c r="AU87" s="2215"/>
      <c r="AV87" s="2215"/>
      <c r="AW87" s="2215"/>
      <c r="AX87" s="2215"/>
      <c r="AY87" s="2215"/>
      <c r="AZ87" s="2215"/>
      <c r="BA87" s="2215"/>
      <c r="BB87" s="2216"/>
      <c r="BC87" s="1209"/>
      <c r="BD87" s="1209"/>
      <c r="BE87" s="1205"/>
    </row>
    <row r="88" spans="1:70" ht="15.75" customHeight="1" thickBot="1">
      <c r="A88" s="1209"/>
      <c r="B88" s="2220" t="s">
        <v>1831</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9"/>
      <c r="AJ88" s="2217"/>
      <c r="AK88" s="2218"/>
      <c r="AL88" s="2218"/>
      <c r="AM88" s="2218"/>
      <c r="AN88" s="2218"/>
      <c r="AO88" s="2218"/>
      <c r="AP88" s="2218"/>
      <c r="AQ88" s="2218"/>
      <c r="AR88" s="2218"/>
      <c r="AS88" s="2218"/>
      <c r="AT88" s="2218"/>
      <c r="AU88" s="2218"/>
      <c r="AV88" s="2218"/>
      <c r="AW88" s="2218"/>
      <c r="AX88" s="2218"/>
      <c r="AY88" s="2218"/>
      <c r="AZ88" s="2218"/>
      <c r="BA88" s="2218"/>
      <c r="BB88" s="221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1"/>
      <c r="G92" s="2582"/>
      <c r="H92" s="2582"/>
      <c r="I92" s="2582"/>
      <c r="J92" s="2582"/>
      <c r="K92" s="2582"/>
      <c r="L92" s="2582"/>
      <c r="M92" s="2582"/>
      <c r="N92" s="2582"/>
      <c r="O92" s="2582"/>
      <c r="P92" s="2582"/>
      <c r="Q92" s="258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84" t="e">
        <f>BR97/SUM($BR$96:$BR$98)</f>
        <v>#DIV/0!</v>
      </c>
      <c r="P93" s="2585"/>
      <c r="Q93" s="258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598" t="s">
        <v>2553</v>
      </c>
      <c r="P94" s="2599"/>
      <c r="Q94" s="260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5" t="s">
        <v>2617</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9"/>
      <c r="AJ96" s="2241" t="s">
        <v>2616</v>
      </c>
      <c r="AK96" s="2242"/>
      <c r="AL96" s="2242"/>
      <c r="AM96" s="2242"/>
      <c r="AN96" s="2242"/>
      <c r="AO96" s="2242"/>
      <c r="AP96" s="2242"/>
      <c r="AQ96" s="2242"/>
      <c r="AR96" s="2242"/>
      <c r="AS96" s="2242"/>
      <c r="AT96" s="2242"/>
      <c r="AU96" s="2242"/>
      <c r="AV96" s="2242"/>
      <c r="AW96" s="2242"/>
      <c r="AX96" s="2242"/>
      <c r="AY96" s="2245" t="s">
        <v>553</v>
      </c>
      <c r="AZ96" s="2245"/>
      <c r="BA96" s="2245"/>
      <c r="BB96" s="2246"/>
      <c r="BC96" s="1209"/>
      <c r="BD96" s="1209"/>
      <c r="BE96" s="1205"/>
      <c r="BQ96" s="1248" t="str">
        <f>Application!M243</f>
        <v>Villa Verde I GP, LLC</v>
      </c>
      <c r="BR96" s="1248">
        <f>Application!AH245</f>
        <v>0</v>
      </c>
    </row>
    <row r="97" spans="1:70" ht="15.75" customHeight="1">
      <c r="A97" s="1209"/>
      <c r="B97" s="2200"/>
      <c r="C97" s="2201"/>
      <c r="D97" s="2201"/>
      <c r="E97" s="2201"/>
      <c r="F97" s="2201"/>
      <c r="G97" s="2201"/>
      <c r="H97" s="2201"/>
      <c r="I97" s="2201" t="s">
        <v>1828</v>
      </c>
      <c r="J97" s="2201"/>
      <c r="K97" s="2201"/>
      <c r="L97" s="2201"/>
      <c r="M97" s="2201"/>
      <c r="N97" s="2201"/>
      <c r="O97" s="2201" t="s">
        <v>1829</v>
      </c>
      <c r="P97" s="2201"/>
      <c r="Q97" s="2201"/>
      <c r="R97" s="2201"/>
      <c r="S97" s="2201"/>
      <c r="T97" s="2201"/>
      <c r="U97" s="2201"/>
      <c r="V97" s="2197" t="s">
        <v>2188</v>
      </c>
      <c r="W97" s="2197"/>
      <c r="X97" s="2197"/>
      <c r="Y97" s="2197"/>
      <c r="Z97" s="2197"/>
      <c r="AA97" s="2197"/>
      <c r="AB97" s="2198" t="s">
        <v>1830</v>
      </c>
      <c r="AC97" s="2198"/>
      <c r="AD97" s="2198"/>
      <c r="AE97" s="2198"/>
      <c r="AF97" s="2198"/>
      <c r="AG97" s="2198"/>
      <c r="AH97" s="2199"/>
      <c r="AI97" s="1209"/>
      <c r="AJ97" s="2243"/>
      <c r="AK97" s="2244"/>
      <c r="AL97" s="2244"/>
      <c r="AM97" s="2244"/>
      <c r="AN97" s="2244"/>
      <c r="AO97" s="2244"/>
      <c r="AP97" s="2244"/>
      <c r="AQ97" s="2244"/>
      <c r="AR97" s="2244"/>
      <c r="AS97" s="2244"/>
      <c r="AT97" s="2244"/>
      <c r="AU97" s="2244"/>
      <c r="AV97" s="2244"/>
      <c r="AW97" s="2244"/>
      <c r="AX97" s="2244"/>
      <c r="AY97" s="2247"/>
      <c r="AZ97" s="2247"/>
      <c r="BA97" s="2247"/>
      <c r="BB97" s="2248"/>
      <c r="BC97" s="1209"/>
      <c r="BD97" s="1209"/>
      <c r="BE97" s="1205"/>
      <c r="BQ97" s="1248">
        <f>Application!M251</f>
        <v>0</v>
      </c>
      <c r="BR97" s="1248">
        <f>Application!AH253</f>
        <v>0</v>
      </c>
    </row>
    <row r="98" spans="1:70" ht="15.75" customHeight="1">
      <c r="A98" s="1209"/>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9"/>
      <c r="AJ98" s="2243"/>
      <c r="AK98" s="2244"/>
      <c r="AL98" s="2244"/>
      <c r="AM98" s="2244"/>
      <c r="AN98" s="2244"/>
      <c r="AO98" s="2244"/>
      <c r="AP98" s="2244"/>
      <c r="AQ98" s="2244"/>
      <c r="AR98" s="2244"/>
      <c r="AS98" s="2244"/>
      <c r="AT98" s="2244"/>
      <c r="AU98" s="2244"/>
      <c r="AV98" s="2244"/>
      <c r="AW98" s="2244"/>
      <c r="AX98" s="2244"/>
      <c r="AY98" s="2247"/>
      <c r="AZ98" s="2247"/>
      <c r="BA98" s="2247"/>
      <c r="BB98" s="2248"/>
      <c r="BC98" s="1209"/>
      <c r="BD98" s="1209"/>
      <c r="BE98" s="1205"/>
      <c r="BQ98" s="1248">
        <f>Application!M259</f>
        <v>0</v>
      </c>
      <c r="BR98" s="1248">
        <f>Application!AH261</f>
        <v>0</v>
      </c>
    </row>
    <row r="99" spans="1:70" ht="15.75" customHeight="1">
      <c r="A99" s="1209"/>
      <c r="B99" s="2200" t="s">
        <v>2171</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9"/>
      <c r="AJ99" s="2243"/>
      <c r="AK99" s="2244"/>
      <c r="AL99" s="2244"/>
      <c r="AM99" s="2244"/>
      <c r="AN99" s="2244"/>
      <c r="AO99" s="2244"/>
      <c r="AP99" s="2244"/>
      <c r="AQ99" s="2244"/>
      <c r="AR99" s="2244"/>
      <c r="AS99" s="2244"/>
      <c r="AT99" s="2244"/>
      <c r="AU99" s="2244"/>
      <c r="AV99" s="2244"/>
      <c r="AW99" s="2244"/>
      <c r="AX99" s="2244"/>
      <c r="AY99" s="2247"/>
      <c r="AZ99" s="2247"/>
      <c r="BA99" s="2247"/>
      <c r="BB99" s="2248"/>
      <c r="BC99" s="1209"/>
      <c r="BD99" s="1209"/>
      <c r="BE99" s="1205"/>
    </row>
    <row r="100" spans="1:70" ht="15.75" customHeight="1">
      <c r="A100" s="1209"/>
      <c r="B100" s="2200" t="s">
        <v>2172</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9"/>
      <c r="AJ100" s="2214" t="s">
        <v>2487</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9"/>
      <c r="BD100" s="1209"/>
      <c r="BE100" s="1205"/>
    </row>
    <row r="101" spans="1:70" ht="15.75" customHeight="1" thickBot="1">
      <c r="A101" s="1209"/>
      <c r="B101" s="2220" t="s">
        <v>1831</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9"/>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39"/>
      <c r="G104" s="2540"/>
      <c r="H104" s="2540"/>
      <c r="I104" s="2540"/>
      <c r="J104" s="2540"/>
      <c r="K104" s="2540"/>
      <c r="L104" s="2540"/>
      <c r="M104" s="2540"/>
      <c r="N104" s="2540"/>
      <c r="O104" s="2540"/>
      <c r="P104" s="2540"/>
      <c r="Q104" s="2540"/>
      <c r="R104" s="254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598" t="e">
        <f>BR98/SUM(BR96:BR98)</f>
        <v>#DIV/0!</v>
      </c>
      <c r="P105" s="2599"/>
      <c r="Q105" s="2599"/>
      <c r="R105" s="260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0" t="s">
        <v>2613</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0"/>
      <c r="C108" s="2201"/>
      <c r="D108" s="2201"/>
      <c r="E108" s="2201"/>
      <c r="F108" s="2201"/>
      <c r="G108" s="2201"/>
      <c r="H108" s="2201"/>
      <c r="I108" s="2201" t="s">
        <v>1828</v>
      </c>
      <c r="J108" s="2201"/>
      <c r="K108" s="2201"/>
      <c r="L108" s="2201"/>
      <c r="M108" s="2201"/>
      <c r="N108" s="2201"/>
      <c r="O108" s="2201" t="s">
        <v>1829</v>
      </c>
      <c r="P108" s="2201"/>
      <c r="Q108" s="2201"/>
      <c r="R108" s="2201"/>
      <c r="S108" s="2201"/>
      <c r="T108" s="2201"/>
      <c r="U108" s="2201"/>
      <c r="V108" s="2197" t="s">
        <v>2188</v>
      </c>
      <c r="W108" s="2197"/>
      <c r="X108" s="2197"/>
      <c r="Y108" s="2197"/>
      <c r="Z108" s="2197"/>
      <c r="AA108" s="2197"/>
      <c r="AB108" s="2198" t="s">
        <v>1830</v>
      </c>
      <c r="AC108" s="2198"/>
      <c r="AD108" s="2198"/>
      <c r="AE108" s="2198"/>
      <c r="AF108" s="2198"/>
      <c r="AG108" s="2198"/>
      <c r="AH108" s="219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0" t="s">
        <v>2171</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0" t="s">
        <v>2172</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0" t="s">
        <v>1831</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39"/>
      <c r="G115" s="2540"/>
      <c r="H115" s="2540"/>
      <c r="I115" s="2540"/>
      <c r="J115" s="2540"/>
      <c r="K115" s="2540"/>
      <c r="L115" s="2540"/>
      <c r="M115" s="2540"/>
      <c r="N115" s="2540"/>
      <c r="O115" s="2540"/>
      <c r="P115" s="2540"/>
      <c r="Q115" s="2540"/>
      <c r="R115" s="254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1" t="s">
        <v>2488</v>
      </c>
      <c r="C117" s="2242"/>
      <c r="D117" s="2242"/>
      <c r="E117" s="2242"/>
      <c r="F117" s="2242"/>
      <c r="G117" s="2242"/>
      <c r="H117" s="2242"/>
      <c r="I117" s="2242"/>
      <c r="J117" s="2242"/>
      <c r="K117" s="2242"/>
      <c r="L117" s="2242"/>
      <c r="M117" s="2242"/>
      <c r="N117" s="2242"/>
      <c r="O117" s="2242"/>
      <c r="P117" s="2242"/>
      <c r="Q117" s="2245" t="s">
        <v>553</v>
      </c>
      <c r="R117" s="2245"/>
      <c r="S117" s="2245"/>
      <c r="T117" s="224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3"/>
      <c r="C118" s="2244"/>
      <c r="D118" s="2244"/>
      <c r="E118" s="2244"/>
      <c r="F118" s="2244"/>
      <c r="G118" s="2244"/>
      <c r="H118" s="2244"/>
      <c r="I118" s="2244"/>
      <c r="J118" s="2244"/>
      <c r="K118" s="2244"/>
      <c r="L118" s="2244"/>
      <c r="M118" s="2244"/>
      <c r="N118" s="2244"/>
      <c r="O118" s="2244"/>
      <c r="P118" s="2244"/>
      <c r="Q118" s="2247"/>
      <c r="R118" s="2247"/>
      <c r="S118" s="2247"/>
      <c r="T118" s="224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3"/>
      <c r="C119" s="2244"/>
      <c r="D119" s="2244"/>
      <c r="E119" s="2244"/>
      <c r="F119" s="2244"/>
      <c r="G119" s="2244"/>
      <c r="H119" s="2244"/>
      <c r="I119" s="2244"/>
      <c r="J119" s="2244"/>
      <c r="K119" s="2244"/>
      <c r="L119" s="2244"/>
      <c r="M119" s="2244"/>
      <c r="N119" s="2244"/>
      <c r="O119" s="2244"/>
      <c r="P119" s="2244"/>
      <c r="Q119" s="2247"/>
      <c r="R119" s="2247"/>
      <c r="S119" s="2247"/>
      <c r="T119" s="224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3"/>
      <c r="C120" s="2244"/>
      <c r="D120" s="2244"/>
      <c r="E120" s="2244"/>
      <c r="F120" s="2244"/>
      <c r="G120" s="2244"/>
      <c r="H120" s="2244"/>
      <c r="I120" s="2244"/>
      <c r="J120" s="2244"/>
      <c r="K120" s="2244"/>
      <c r="L120" s="2244"/>
      <c r="M120" s="2244"/>
      <c r="N120" s="2244"/>
      <c r="O120" s="2244"/>
      <c r="P120" s="2244"/>
      <c r="Q120" s="2247"/>
      <c r="R120" s="2247"/>
      <c r="S120" s="2247"/>
      <c r="T120" s="224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4" t="s">
        <v>2189</v>
      </c>
      <c r="C121" s="2215"/>
      <c r="D121" s="2215"/>
      <c r="E121" s="2215"/>
      <c r="F121" s="2215"/>
      <c r="G121" s="2215"/>
      <c r="H121" s="2215"/>
      <c r="I121" s="2215"/>
      <c r="J121" s="2215"/>
      <c r="K121" s="2215"/>
      <c r="L121" s="2215"/>
      <c r="M121" s="2215"/>
      <c r="N121" s="2215"/>
      <c r="O121" s="2215"/>
      <c r="P121" s="2215"/>
      <c r="Q121" s="2215"/>
      <c r="R121" s="2215"/>
      <c r="S121" s="2215"/>
      <c r="T121" s="221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7"/>
      <c r="C122" s="2218"/>
      <c r="D122" s="2218"/>
      <c r="E122" s="2218"/>
      <c r="F122" s="2218"/>
      <c r="G122" s="2218"/>
      <c r="H122" s="2218"/>
      <c r="I122" s="2218"/>
      <c r="J122" s="2218"/>
      <c r="K122" s="2218"/>
      <c r="L122" s="2218"/>
      <c r="M122" s="2218"/>
      <c r="N122" s="2218"/>
      <c r="O122" s="2218"/>
      <c r="P122" s="2218"/>
      <c r="Q122" s="2218"/>
      <c r="R122" s="2218"/>
      <c r="S122" s="2218"/>
      <c r="T122" s="221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1" t="s">
        <v>2173</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5"/>
    </row>
    <row r="126" spans="1:57" ht="15.75" customHeight="1">
      <c r="A126" s="1209"/>
      <c r="B126" s="2405" t="s">
        <v>1688</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9"/>
      <c r="W126" s="1209"/>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5"/>
    </row>
    <row r="127" spans="1:57" ht="15.75" customHeight="1">
      <c r="A127" s="1209"/>
      <c r="B127" s="2408"/>
      <c r="C127" s="2409"/>
      <c r="D127" s="2409"/>
      <c r="E127" s="2409"/>
      <c r="F127" s="2409"/>
      <c r="G127" s="2409"/>
      <c r="H127" s="2409"/>
      <c r="I127" s="2201" t="s">
        <v>2174</v>
      </c>
      <c r="J127" s="2201"/>
      <c r="K127" s="2201"/>
      <c r="L127" s="2201"/>
      <c r="M127" s="2201"/>
      <c r="N127" s="2201"/>
      <c r="O127" s="2410" t="s">
        <v>2175</v>
      </c>
      <c r="P127" s="2410"/>
      <c r="Q127" s="2410"/>
      <c r="R127" s="2410"/>
      <c r="S127" s="2410"/>
      <c r="T127" s="2410"/>
      <c r="U127" s="2411"/>
      <c r="V127" s="1209"/>
      <c r="W127" s="1209"/>
      <c r="X127" s="2388" t="s">
        <v>2187</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5"/>
    </row>
    <row r="128" spans="1:57" ht="15.75" customHeight="1">
      <c r="A128" s="1209"/>
      <c r="B128" s="2414" t="s">
        <v>2176</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9"/>
      <c r="W128" s="1209"/>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5"/>
    </row>
    <row r="129" spans="1:57" ht="15.75" customHeight="1" thickBot="1">
      <c r="A129" s="1209"/>
      <c r="B129" s="2416" t="s">
        <v>2177</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9"/>
      <c r="W129" s="1209"/>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5"/>
    </row>
    <row r="133" spans="1:57" ht="15.75" customHeight="1">
      <c r="A133" s="1209"/>
      <c r="B133" s="2267" t="s">
        <v>1834</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9"/>
      <c r="W133" s="1209"/>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5"/>
    </row>
    <row r="134" spans="1:57" ht="15.75" customHeight="1">
      <c r="A134" s="1209"/>
      <c r="B134" s="2408"/>
      <c r="C134" s="2409"/>
      <c r="D134" s="2409"/>
      <c r="E134" s="2409"/>
      <c r="F134" s="2409"/>
      <c r="G134" s="2409"/>
      <c r="H134" s="2409"/>
      <c r="I134" s="2432" t="s">
        <v>1829</v>
      </c>
      <c r="J134" s="2432"/>
      <c r="K134" s="2432"/>
      <c r="L134" s="2432"/>
      <c r="M134" s="2432"/>
      <c r="N134" s="2432"/>
      <c r="O134" s="2432"/>
      <c r="P134" s="2432" t="s">
        <v>2188</v>
      </c>
      <c r="Q134" s="2432"/>
      <c r="R134" s="2432"/>
      <c r="S134" s="2432"/>
      <c r="T134" s="2432"/>
      <c r="U134" s="2433"/>
      <c r="V134" s="1209"/>
      <c r="W134" s="1209"/>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5"/>
    </row>
    <row r="135" spans="1:57" ht="15.75" customHeight="1">
      <c r="A135" s="1209"/>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9"/>
      <c r="W135" s="1209"/>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5"/>
    </row>
    <row r="136" spans="1:57" ht="15.75" customHeight="1">
      <c r="A136" s="1209"/>
      <c r="B136" s="2414" t="s">
        <v>2176</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9"/>
      <c r="W136" s="1209"/>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5"/>
    </row>
    <row r="137" spans="1:57" ht="15.75" customHeight="1" thickBot="1">
      <c r="A137" s="1209"/>
      <c r="B137" s="2416" t="s">
        <v>2177</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9"/>
      <c r="W137" s="1209"/>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8" t="s">
        <v>1835</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553</v>
      </c>
      <c r="AI139" s="2420"/>
      <c r="AJ139" s="2420"/>
      <c r="AK139" s="2420"/>
      <c r="AL139" s="2420"/>
      <c r="AM139" s="2420"/>
      <c r="AN139" s="2420"/>
      <c r="AO139" s="2420"/>
      <c r="AP139" s="2420"/>
      <c r="AQ139" s="2420"/>
      <c r="AR139" s="2420"/>
      <c r="AS139" s="2420"/>
      <c r="AT139" s="2420"/>
      <c r="AU139" s="2420"/>
      <c r="AV139" s="2420"/>
      <c r="AW139" s="2420"/>
      <c r="AX139" s="2421"/>
      <c r="AY139" s="1209"/>
      <c r="AZ139" s="1209"/>
      <c r="BA139" s="1209"/>
      <c r="BB139" s="1209"/>
      <c r="BC139" s="1209"/>
      <c r="BD139" s="1209"/>
      <c r="BE139" s="1205"/>
    </row>
    <row r="140" spans="1:57" ht="15.75" customHeight="1">
      <c r="A140" s="1209"/>
      <c r="B140" s="2422" t="s">
        <v>1836</v>
      </c>
      <c r="C140" s="2423"/>
      <c r="D140" s="2423"/>
      <c r="E140" s="2423"/>
      <c r="F140" s="2423"/>
      <c r="G140" s="2423"/>
      <c r="H140" s="2423"/>
      <c r="I140" s="2423"/>
      <c r="J140" s="2423"/>
      <c r="K140" s="2423"/>
      <c r="L140" s="2423"/>
      <c r="M140" s="2423"/>
      <c r="N140" s="2423"/>
      <c r="O140" s="2423"/>
      <c r="P140" s="2423"/>
      <c r="Q140" s="2423"/>
      <c r="R140" s="2424" t="s">
        <v>2190</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251</v>
      </c>
      <c r="BD140" s="1209"/>
      <c r="BE140" s="1205"/>
    </row>
    <row r="141" spans="1:57" ht="15.75" customHeight="1">
      <c r="A141" s="1209"/>
      <c r="B141" s="2426" t="s">
        <v>2191</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75" customHeight="1">
      <c r="A142" s="1209"/>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75" customHeight="1">
      <c r="A143" s="1209"/>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75" customHeight="1">
      <c r="A144" s="1209"/>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75" customHeight="1">
      <c r="A145" s="1209"/>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75" customHeight="1">
      <c r="A146" s="1209"/>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75" customHeight="1">
      <c r="A147" s="1209"/>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75" customHeight="1">
      <c r="A148" s="1209"/>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75" customHeight="1">
      <c r="A149" s="1209"/>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75" customHeight="1" thickBot="1">
      <c r="A150" s="1209"/>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5" t="s">
        <v>1838</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9"/>
      <c r="W154" s="1217"/>
      <c r="X154" s="2355" t="s">
        <v>2193</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8"/>
      <c r="C155" s="2409"/>
      <c r="D155" s="2409"/>
      <c r="E155" s="2409"/>
      <c r="F155" s="2409"/>
      <c r="G155" s="2409"/>
      <c r="H155" s="2409"/>
      <c r="I155" s="2432" t="s">
        <v>1829</v>
      </c>
      <c r="J155" s="2432"/>
      <c r="K155" s="2432"/>
      <c r="L155" s="2432"/>
      <c r="M155" s="2432"/>
      <c r="N155" s="2432"/>
      <c r="O155" s="2432"/>
      <c r="P155" s="2432" t="s">
        <v>2194</v>
      </c>
      <c r="Q155" s="2432"/>
      <c r="R155" s="2432"/>
      <c r="S155" s="2432"/>
      <c r="T155" s="2432"/>
      <c r="U155" s="2433"/>
      <c r="V155" s="1209"/>
      <c r="W155" s="1209"/>
      <c r="X155" s="2408"/>
      <c r="Y155" s="2409"/>
      <c r="Z155" s="2409"/>
      <c r="AA155" s="2409"/>
      <c r="AB155" s="2409"/>
      <c r="AC155" s="2409"/>
      <c r="AD155" s="2409"/>
      <c r="AE155" s="2432" t="s">
        <v>1829</v>
      </c>
      <c r="AF155" s="2432"/>
      <c r="AG155" s="2432"/>
      <c r="AH155" s="2432"/>
      <c r="AI155" s="2432"/>
      <c r="AJ155" s="2432"/>
      <c r="AK155" s="2432"/>
      <c r="AL155" s="2432" t="s">
        <v>2188</v>
      </c>
      <c r="AM155" s="2432"/>
      <c r="AN155" s="2432"/>
      <c r="AO155" s="2432"/>
      <c r="AP155" s="2432"/>
      <c r="AQ155" s="243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9"/>
      <c r="W156" s="1209"/>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2176</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9"/>
      <c r="W157" s="1209"/>
      <c r="X157" s="2416" t="s">
        <v>2176</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2177</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5" t="s">
        <v>2178</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8" t="s">
        <v>1839</v>
      </c>
      <c r="D161" s="2409"/>
      <c r="E161" s="2409"/>
      <c r="F161" s="2409"/>
      <c r="G161" s="2409"/>
      <c r="H161" s="2409"/>
      <c r="I161" s="2409"/>
      <c r="J161" s="2409"/>
      <c r="K161" s="2409"/>
      <c r="L161" s="2409"/>
      <c r="M161" s="2409"/>
      <c r="N161" s="2409"/>
      <c r="O161" s="2409"/>
      <c r="P161" s="2409"/>
      <c r="Q161" s="2409" t="s">
        <v>1840</v>
      </c>
      <c r="R161" s="2409"/>
      <c r="S161" s="2409"/>
      <c r="T161" s="2198" t="s">
        <v>2179</v>
      </c>
      <c r="U161" s="2198"/>
      <c r="V161" s="2198"/>
      <c r="W161" s="2198"/>
      <c r="X161" s="2198"/>
      <c r="Y161" s="2198"/>
      <c r="Z161" s="2198"/>
      <c r="AA161" s="2198"/>
      <c r="AB161" s="2409" t="s">
        <v>1841</v>
      </c>
      <c r="AC161" s="2409"/>
      <c r="AD161" s="2409"/>
      <c r="AE161" s="2409"/>
      <c r="AF161" s="2409"/>
      <c r="AG161" s="243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5" t="s">
        <v>1842</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5" t="s">
        <v>1843</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5" t="s">
        <v>1844</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5" t="s">
        <v>1815</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5" t="s">
        <v>170</v>
      </c>
      <c r="D166" s="2436"/>
      <c r="E166" s="2436"/>
      <c r="F166" s="2442" t="s">
        <v>1845</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5" t="s">
        <v>170</v>
      </c>
      <c r="D167" s="2436"/>
      <c r="E167" s="2436"/>
      <c r="F167" s="2442" t="s">
        <v>1845</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3" t="s">
        <v>170</v>
      </c>
      <c r="D168" s="2444"/>
      <c r="E168" s="2444"/>
      <c r="F168" s="2445" t="s">
        <v>1845</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0" t="s">
        <v>1846</v>
      </c>
      <c r="D170" s="2461"/>
      <c r="E170" s="2461"/>
      <c r="F170" s="2461"/>
      <c r="G170" s="2461"/>
      <c r="H170" s="2461"/>
      <c r="I170" s="2461"/>
      <c r="J170" s="2461"/>
      <c r="K170" s="2461"/>
      <c r="L170" s="2461"/>
      <c r="M170" s="2461"/>
      <c r="N170" s="2462"/>
      <c r="O170" s="1209"/>
      <c r="P170" s="2418" t="s">
        <v>1847</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8" t="s">
        <v>1848</v>
      </c>
      <c r="D171" s="2409"/>
      <c r="E171" s="2409"/>
      <c r="F171" s="2409"/>
      <c r="G171" s="2409"/>
      <c r="H171" s="2409"/>
      <c r="I171" s="2409" t="s">
        <v>1849</v>
      </c>
      <c r="J171" s="2409"/>
      <c r="K171" s="2409"/>
      <c r="L171" s="2409"/>
      <c r="M171" s="2409"/>
      <c r="N171" s="2434"/>
      <c r="O171" s="1209"/>
      <c r="P171" s="2388" t="s">
        <v>2187</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4"/>
      <c r="D172" s="2364"/>
      <c r="E172" s="2364"/>
      <c r="F172" s="2364"/>
      <c r="G172" s="2364"/>
      <c r="H172" s="2364"/>
      <c r="I172" s="2438"/>
      <c r="J172" s="2438"/>
      <c r="K172" s="2438"/>
      <c r="L172" s="2438"/>
      <c r="M172" s="2438"/>
      <c r="N172" s="2464"/>
      <c r="O172" s="1209"/>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4"/>
      <c r="D173" s="2364"/>
      <c r="E173" s="2364"/>
      <c r="F173" s="2364"/>
      <c r="G173" s="2364"/>
      <c r="H173" s="2364"/>
      <c r="I173" s="2438"/>
      <c r="J173" s="2438"/>
      <c r="K173" s="2438"/>
      <c r="L173" s="2438"/>
      <c r="M173" s="2438"/>
      <c r="N173" s="2464"/>
      <c r="O173" s="1209"/>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4"/>
      <c r="D174" s="2364"/>
      <c r="E174" s="2364"/>
      <c r="F174" s="2364"/>
      <c r="G174" s="2364"/>
      <c r="H174" s="2364"/>
      <c r="I174" s="2438"/>
      <c r="J174" s="2438"/>
      <c r="K174" s="2438"/>
      <c r="L174" s="2438"/>
      <c r="M174" s="2438"/>
      <c r="N174" s="2464"/>
      <c r="O174" s="1209"/>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4"/>
      <c r="D175" s="2364"/>
      <c r="E175" s="2364"/>
      <c r="F175" s="2364"/>
      <c r="G175" s="2364"/>
      <c r="H175" s="2364"/>
      <c r="I175" s="2438"/>
      <c r="J175" s="2438"/>
      <c r="K175" s="2438"/>
      <c r="L175" s="2438"/>
      <c r="M175" s="2438"/>
      <c r="N175" s="2464"/>
      <c r="O175" s="1209"/>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4"/>
      <c r="D176" s="2364"/>
      <c r="E176" s="2364"/>
      <c r="F176" s="2364"/>
      <c r="G176" s="2364"/>
      <c r="H176" s="2364"/>
      <c r="I176" s="2438"/>
      <c r="J176" s="2438"/>
      <c r="K176" s="2438"/>
      <c r="L176" s="2438"/>
      <c r="M176" s="2438"/>
      <c r="N176" s="2464"/>
      <c r="O176" s="1209"/>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4"/>
      <c r="D177" s="2364"/>
      <c r="E177" s="2364"/>
      <c r="F177" s="2364"/>
      <c r="G177" s="2364"/>
      <c r="H177" s="2364"/>
      <c r="I177" s="2438"/>
      <c r="J177" s="2438"/>
      <c r="K177" s="2438"/>
      <c r="L177" s="2438"/>
      <c r="M177" s="2438"/>
      <c r="N177" s="2464"/>
      <c r="O177" s="1209"/>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0"/>
      <c r="D178" s="2451"/>
      <c r="E178" s="2451"/>
      <c r="F178" s="2451"/>
      <c r="G178" s="2451"/>
      <c r="H178" s="2451"/>
      <c r="I178" s="2452"/>
      <c r="J178" s="2452"/>
      <c r="K178" s="2452"/>
      <c r="L178" s="2452"/>
      <c r="M178" s="2452"/>
      <c r="N178" s="2453"/>
      <c r="O178" s="1209"/>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4" t="s">
        <v>2489</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9"/>
      <c r="AG180" s="1209"/>
      <c r="AH180" s="2209" t="s">
        <v>2606</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9"/>
      <c r="B181" s="1209"/>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9"/>
      <c r="AG181" s="1209"/>
      <c r="AH181" s="2212" t="s">
        <v>2627</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9"/>
      <c r="B182" s="1209"/>
      <c r="C182" s="2460" t="s">
        <v>1839</v>
      </c>
      <c r="D182" s="2461"/>
      <c r="E182" s="2461"/>
      <c r="F182" s="2461"/>
      <c r="G182" s="2461"/>
      <c r="H182" s="2461"/>
      <c r="I182" s="2461"/>
      <c r="J182" s="2461"/>
      <c r="K182" s="2461"/>
      <c r="L182" s="2461"/>
      <c r="M182" s="2461"/>
      <c r="N182" s="2461" t="s">
        <v>1850</v>
      </c>
      <c r="O182" s="2461"/>
      <c r="P182" s="2461"/>
      <c r="Q182" s="2461"/>
      <c r="R182" s="2461"/>
      <c r="S182" s="2461"/>
      <c r="T182" s="2461"/>
      <c r="U182" s="2356" t="s">
        <v>1839</v>
      </c>
      <c r="V182" s="2356"/>
      <c r="W182" s="2356"/>
      <c r="X182" s="2356"/>
      <c r="Y182" s="2356"/>
      <c r="Z182" s="2356"/>
      <c r="AA182" s="2356"/>
      <c r="AB182" s="2356"/>
      <c r="AC182" s="2356"/>
      <c r="AD182" s="2356"/>
      <c r="AE182" s="2357"/>
      <c r="AF182" s="1209"/>
      <c r="AG182" s="1209"/>
      <c r="AH182" s="2213" t="s">
        <v>2611</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9"/>
      <c r="B183" s="1209"/>
      <c r="C183" s="2203" t="s">
        <v>2490</v>
      </c>
      <c r="D183" s="2204"/>
      <c r="E183" s="2204"/>
      <c r="F183" s="2204"/>
      <c r="G183" s="2204"/>
      <c r="H183" s="2204"/>
      <c r="I183" s="2204"/>
      <c r="J183" s="2204"/>
      <c r="K183" s="2204"/>
      <c r="L183" s="2204"/>
      <c r="M183" s="2204"/>
      <c r="N183" s="2466">
        <f>'Sources and Uses Budget'!B105</f>
        <v>61613323</v>
      </c>
      <c r="O183" s="2466"/>
      <c r="P183" s="2466"/>
      <c r="Q183" s="2466"/>
      <c r="R183" s="2466"/>
      <c r="S183" s="2466"/>
      <c r="T183" s="2466"/>
      <c r="U183" s="2467"/>
      <c r="V183" s="2467"/>
      <c r="W183" s="2467"/>
      <c r="X183" s="2467"/>
      <c r="Y183" s="2467"/>
      <c r="Z183" s="2467"/>
      <c r="AA183" s="2467"/>
      <c r="AB183" s="2467"/>
      <c r="AC183" s="2467"/>
      <c r="AD183" s="2467"/>
      <c r="AE183" s="2468"/>
      <c r="AF183" s="1209"/>
      <c r="AG183" s="1209"/>
      <c r="AH183" s="2213" t="s">
        <v>2610</v>
      </c>
      <c r="AI183" s="2213"/>
      <c r="AJ183" s="2213"/>
      <c r="AK183" s="2213"/>
      <c r="AL183" s="2213"/>
      <c r="AM183" s="2213"/>
      <c r="AN183" s="2213"/>
      <c r="AO183" s="2213"/>
      <c r="AP183" s="2213"/>
      <c r="AQ183" s="2213"/>
      <c r="AR183" s="2213"/>
      <c r="AS183" s="2213"/>
      <c r="AT183" s="2213"/>
      <c r="AU183" s="2180">
        <f>MAX(0,Application!AG439-100)*20000</f>
        <v>0</v>
      </c>
      <c r="AV183" s="2180"/>
      <c r="AW183" s="2180"/>
      <c r="AX183" s="2180"/>
      <c r="AY183" s="2180"/>
      <c r="AZ183" s="2180"/>
      <c r="BA183" s="2180"/>
      <c r="BB183" s="2180"/>
      <c r="BC183" s="2184"/>
      <c r="BD183" s="2185"/>
      <c r="BE183" s="2186"/>
    </row>
    <row r="184" spans="1:57" ht="15.75" customHeight="1">
      <c r="A184" s="1209"/>
      <c r="B184" s="1209"/>
      <c r="C184" s="2203" t="s">
        <v>2491</v>
      </c>
      <c r="D184" s="2204"/>
      <c r="E184" s="2204"/>
      <c r="F184" s="2204"/>
      <c r="G184" s="2204"/>
      <c r="H184" s="2204"/>
      <c r="I184" s="2204"/>
      <c r="J184" s="2204"/>
      <c r="K184" s="2204"/>
      <c r="L184" s="2204"/>
      <c r="M184" s="2204"/>
      <c r="N184" s="2466">
        <f>N183/J29</f>
        <v>742329.19277108437</v>
      </c>
      <c r="O184" s="2466"/>
      <c r="P184" s="2466"/>
      <c r="Q184" s="2466"/>
      <c r="R184" s="2466"/>
      <c r="S184" s="2466"/>
      <c r="T184" s="2466"/>
      <c r="U184" s="1225"/>
      <c r="V184" s="1225"/>
      <c r="W184" s="1225"/>
      <c r="X184" s="1225"/>
      <c r="Y184" s="1225"/>
      <c r="Z184" s="1225"/>
      <c r="AA184" s="1225"/>
      <c r="AB184" s="1225"/>
      <c r="AC184" s="1225"/>
      <c r="AD184" s="1225"/>
      <c r="AE184" s="1224"/>
      <c r="AF184" s="1209"/>
      <c r="AG184" s="1209"/>
      <c r="AH184" s="2190" t="s">
        <v>2609</v>
      </c>
      <c r="AI184" s="2190"/>
      <c r="AJ184" s="2190"/>
      <c r="AK184" s="2190"/>
      <c r="AL184" s="2190"/>
      <c r="AM184" s="2190"/>
      <c r="AN184" s="2190"/>
      <c r="AO184" s="2190"/>
      <c r="AP184" s="2190"/>
      <c r="AQ184" s="2190"/>
      <c r="AR184" s="2190"/>
      <c r="AS184" s="2190"/>
      <c r="AT184" s="2190"/>
      <c r="AU184" s="2181">
        <f>AU182+AU183</f>
        <v>2500000</v>
      </c>
      <c r="AV184" s="2181"/>
      <c r="AW184" s="2181"/>
      <c r="AX184" s="2181"/>
      <c r="AY184" s="2181"/>
      <c r="AZ184" s="2181"/>
      <c r="BA184" s="2181"/>
      <c r="BB184" s="2181"/>
      <c r="BC184" s="2184"/>
      <c r="BD184" s="2185"/>
      <c r="BE184" s="2186"/>
    </row>
    <row r="185" spans="1:57" ht="15.75" customHeight="1">
      <c r="A185" s="1209"/>
      <c r="B185" s="1209"/>
      <c r="C185" s="2469" t="s">
        <v>2492</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9"/>
      <c r="AG185" s="1209"/>
      <c r="AH185" s="2183" t="s">
        <v>2608</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9"/>
      <c r="B186" s="1209"/>
      <c r="C186" s="2203" t="s">
        <v>2493</v>
      </c>
      <c r="D186" s="2204"/>
      <c r="E186" s="2204"/>
      <c r="F186" s="2204"/>
      <c r="G186" s="2204"/>
      <c r="H186" s="2204"/>
      <c r="I186" s="2204"/>
      <c r="J186" s="2204"/>
      <c r="K186" s="2204"/>
      <c r="L186" s="2204"/>
      <c r="M186" s="2204"/>
      <c r="N186" s="2465">
        <f>SUM('Sources and Uses Budget'!B85:B86)</f>
        <v>2814935</v>
      </c>
      <c r="O186" s="2465"/>
      <c r="P186" s="2465"/>
      <c r="Q186" s="2465"/>
      <c r="R186" s="2465"/>
      <c r="S186" s="2465"/>
      <c r="T186" s="2465"/>
      <c r="U186" s="2373"/>
      <c r="V186" s="2373"/>
      <c r="W186" s="2373"/>
      <c r="X186" s="2373"/>
      <c r="Y186" s="2373"/>
      <c r="Z186" s="2373"/>
      <c r="AA186" s="2373"/>
      <c r="AB186" s="2373"/>
      <c r="AC186" s="2373"/>
      <c r="AD186" s="2373"/>
      <c r="AE186" s="237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3" t="s">
        <v>2494</v>
      </c>
      <c r="D187" s="2204"/>
      <c r="E187" s="2204"/>
      <c r="F187" s="2204"/>
      <c r="G187" s="2204"/>
      <c r="H187" s="2204"/>
      <c r="I187" s="2204"/>
      <c r="J187" s="2204"/>
      <c r="K187" s="2204"/>
      <c r="L187" s="2204"/>
      <c r="M187" s="2204"/>
      <c r="N187" s="2465">
        <f>'Sources and Uses Budget'!B8</f>
        <v>1055156</v>
      </c>
      <c r="O187" s="2465"/>
      <c r="P187" s="2465"/>
      <c r="Q187" s="2465"/>
      <c r="R187" s="2465"/>
      <c r="S187" s="2465"/>
      <c r="T187" s="2465"/>
      <c r="U187" s="2373"/>
      <c r="V187" s="2373"/>
      <c r="W187" s="2373"/>
      <c r="X187" s="2373"/>
      <c r="Y187" s="2373"/>
      <c r="Z187" s="2373"/>
      <c r="AA187" s="2373"/>
      <c r="AB187" s="2373"/>
      <c r="AC187" s="2373"/>
      <c r="AD187" s="2373"/>
      <c r="AE187" s="2374"/>
      <c r="AF187" s="1209"/>
      <c r="AG187" s="1209"/>
      <c r="AH187" s="2472" t="s">
        <v>1851</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9"/>
      <c r="B188" s="1209"/>
      <c r="C188" s="2203" t="s">
        <v>2495</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9"/>
      <c r="AG188" s="1209"/>
      <c r="AH188" s="2475" t="s">
        <v>1851</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9"/>
      <c r="B189" s="1209"/>
      <c r="C189" s="2203" t="s">
        <v>2496</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9"/>
      <c r="AG189" s="1209"/>
      <c r="AH189" s="2213" t="s">
        <v>2607</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9"/>
      <c r="B190" s="1209"/>
      <c r="C190" s="2506" t="s">
        <v>301</v>
      </c>
      <c r="D190" s="2437"/>
      <c r="E190" s="2505" t="s">
        <v>1845</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9"/>
      <c r="AG190" s="1209"/>
      <c r="AH190" s="2190" t="s">
        <v>2606</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9"/>
      <c r="B191" s="1209"/>
      <c r="C191" s="2394" t="s">
        <v>301</v>
      </c>
      <c r="D191" s="2364"/>
      <c r="E191" s="2505" t="s">
        <v>1845</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7"/>
      <c r="BD191" s="2488"/>
      <c r="BE191" s="2489"/>
    </row>
    <row r="192" spans="1:57" ht="15.75" customHeight="1" thickBot="1">
      <c r="A192" s="1209"/>
      <c r="B192" s="1209"/>
      <c r="C192" s="2494" t="s">
        <v>301</v>
      </c>
      <c r="D192" s="2495"/>
      <c r="E192" s="2496" t="s">
        <v>1845</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9"/>
      <c r="AG192" s="1209"/>
      <c r="AH192" s="2531" t="s">
        <v>1852</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22"/>
      <c r="BD192" s="1222"/>
      <c r="BE192" s="1221"/>
    </row>
    <row r="193" spans="1:57" ht="15.75" customHeight="1">
      <c r="A193" s="1209"/>
      <c r="B193" s="1209"/>
      <c r="C193" s="2490" t="s">
        <v>1853</v>
      </c>
      <c r="D193" s="2491"/>
      <c r="E193" s="2491"/>
      <c r="F193" s="2491"/>
      <c r="G193" s="2491"/>
      <c r="H193" s="2491"/>
      <c r="I193" s="2491"/>
      <c r="J193" s="2491"/>
      <c r="K193" s="2491"/>
      <c r="L193" s="2491"/>
      <c r="M193" s="2491"/>
      <c r="N193" s="2492">
        <f>SUM(N185:T192)</f>
        <v>3870091</v>
      </c>
      <c r="O193" s="2492"/>
      <c r="P193" s="2492"/>
      <c r="Q193" s="2492"/>
      <c r="R193" s="2492"/>
      <c r="S193" s="2492"/>
      <c r="T193" s="2493"/>
      <c r="U193" s="1209"/>
      <c r="V193" s="1209"/>
      <c r="W193" s="1209"/>
      <c r="X193" s="1209"/>
      <c r="Y193" s="1209"/>
      <c r="Z193" s="1209"/>
      <c r="AA193" s="1209"/>
      <c r="AB193" s="1209"/>
      <c r="AC193" s="1209"/>
      <c r="AD193" s="1209"/>
      <c r="AE193" s="1209"/>
      <c r="AF193" s="1209"/>
      <c r="AG193" s="1209"/>
      <c r="AH193" s="2503" t="s">
        <v>2605</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9"/>
      <c r="B194" s="1209"/>
      <c r="C194" s="2533" t="s">
        <v>2497</v>
      </c>
      <c r="D194" s="2534"/>
      <c r="E194" s="2534"/>
      <c r="F194" s="2534"/>
      <c r="G194" s="2534"/>
      <c r="H194" s="2534"/>
      <c r="I194" s="2534"/>
      <c r="J194" s="2534"/>
      <c r="K194" s="2534"/>
      <c r="L194" s="2534"/>
      <c r="M194" s="2534"/>
      <c r="N194" s="2535">
        <f>(N183-N193)/J29</f>
        <v>695701.59036144579</v>
      </c>
      <c r="O194" s="2536"/>
      <c r="P194" s="2536"/>
      <c r="Q194" s="2536"/>
      <c r="R194" s="2536"/>
      <c r="S194" s="2536"/>
      <c r="T194" s="2537"/>
      <c r="U194" s="1220"/>
      <c r="V194" s="1209"/>
      <c r="W194" s="1209"/>
      <c r="X194" s="1209"/>
      <c r="Y194" s="1209"/>
      <c r="Z194" s="1209"/>
      <c r="AA194" s="1209"/>
      <c r="AB194" s="1209"/>
      <c r="AC194" s="1209"/>
      <c r="AD194" s="1209"/>
      <c r="AE194" s="1209"/>
      <c r="AF194" s="1209"/>
      <c r="AG194" s="1209"/>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3" t="s">
        <v>2604</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3" t="s">
        <v>2603</v>
      </c>
      <c r="D198" s="2193"/>
      <c r="E198" s="2193"/>
      <c r="F198" s="2193"/>
      <c r="G198" s="2193"/>
      <c r="H198" s="2193"/>
      <c r="I198" s="2193"/>
      <c r="J198" s="2193"/>
      <c r="K198" s="2193"/>
      <c r="L198" s="2193"/>
      <c r="M198" s="2193"/>
      <c r="N198" s="2193"/>
      <c r="O198" s="2194" t="s">
        <v>2602</v>
      </c>
      <c r="P198" s="2194"/>
      <c r="Q198" s="2194"/>
      <c r="R198" s="2194"/>
      <c r="S198" s="2194"/>
      <c r="T198" s="2194"/>
      <c r="U198" s="2194"/>
      <c r="V198" s="2194"/>
      <c r="W198" s="2194"/>
      <c r="X198" s="2194" t="s">
        <v>2601</v>
      </c>
      <c r="Y198" s="2194"/>
      <c r="Z198" s="2194"/>
      <c r="AA198" s="2194"/>
      <c r="AB198" s="2194"/>
      <c r="AC198" s="2194"/>
      <c r="AD198" s="2194"/>
      <c r="AE198" s="219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1" t="s">
        <v>2600</v>
      </c>
      <c r="D199" s="2191"/>
      <c r="E199" s="2191"/>
      <c r="F199" s="2191"/>
      <c r="G199" s="2191"/>
      <c r="H199" s="2191"/>
      <c r="I199" s="2191"/>
      <c r="J199" s="2191"/>
      <c r="K199" s="2191"/>
      <c r="L199" s="2191"/>
      <c r="M199" s="2191"/>
      <c r="N199" s="2191"/>
      <c r="O199" s="2486" t="s">
        <v>2599</v>
      </c>
      <c r="P199" s="2486"/>
      <c r="Q199" s="2486"/>
      <c r="R199" s="2486"/>
      <c r="S199" s="2486"/>
      <c r="T199" s="2486"/>
      <c r="U199" s="2486"/>
      <c r="V199" s="2486"/>
      <c r="W199" s="2486"/>
      <c r="X199" s="2507">
        <v>0.03</v>
      </c>
      <c r="Y199" s="2507"/>
      <c r="Z199" s="2507"/>
      <c r="AA199" s="2507"/>
      <c r="AB199" s="2507"/>
      <c r="AC199" s="2507"/>
      <c r="AD199" s="2507"/>
      <c r="AE199" s="250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1" t="s">
        <v>865</v>
      </c>
      <c r="D200" s="2191"/>
      <c r="E200" s="2191"/>
      <c r="F200" s="2191"/>
      <c r="G200" s="2191"/>
      <c r="H200" s="2191"/>
      <c r="I200" s="2191"/>
      <c r="J200" s="2191"/>
      <c r="K200" s="2191"/>
      <c r="L200" s="2191"/>
      <c r="M200" s="2191"/>
      <c r="N200" s="2191"/>
      <c r="O200" s="2486" t="s">
        <v>2599</v>
      </c>
      <c r="P200" s="2486"/>
      <c r="Q200" s="2486"/>
      <c r="R200" s="2486"/>
      <c r="S200" s="2486"/>
      <c r="T200" s="2486"/>
      <c r="U200" s="2486"/>
      <c r="V200" s="2486"/>
      <c r="W200" s="2486"/>
      <c r="X200" s="2507">
        <v>0.03</v>
      </c>
      <c r="Y200" s="2507"/>
      <c r="Z200" s="2507"/>
      <c r="AA200" s="2507"/>
      <c r="AB200" s="2507"/>
      <c r="AC200" s="2507"/>
      <c r="AD200" s="2507"/>
      <c r="AE200" s="250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1" t="s">
        <v>2598</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2597</v>
      </c>
      <c r="Y201" s="2196"/>
      <c r="Z201" s="2196"/>
      <c r="AA201" s="2196"/>
      <c r="AB201" s="2196"/>
      <c r="AC201" s="2196"/>
      <c r="AD201" s="2196"/>
      <c r="AE201" s="219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2" t="s">
        <v>2596</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08" t="s">
        <v>2595</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1" t="s">
        <v>2594</v>
      </c>
      <c r="D205" s="2512"/>
      <c r="E205" s="2512"/>
      <c r="F205" s="2513"/>
      <c r="G205" s="2517" t="s">
        <v>2593</v>
      </c>
      <c r="H205" s="2512"/>
      <c r="I205" s="2512"/>
      <c r="J205" s="2512"/>
      <c r="K205" s="2512"/>
      <c r="L205" s="2512"/>
      <c r="M205" s="2512"/>
      <c r="N205" s="2512"/>
      <c r="O205" s="2513"/>
      <c r="P205" s="2519" t="s">
        <v>2592</v>
      </c>
      <c r="Q205" s="2520"/>
      <c r="R205" s="2520"/>
      <c r="S205" s="2520"/>
      <c r="T205" s="2521"/>
      <c r="U205" s="2525" t="s">
        <v>2591</v>
      </c>
      <c r="V205" s="2526"/>
      <c r="W205" s="2526"/>
      <c r="X205" s="2527"/>
      <c r="Y205" s="2525" t="s">
        <v>2590</v>
      </c>
      <c r="Z205" s="2526"/>
      <c r="AA205" s="2526"/>
      <c r="AB205" s="2527"/>
      <c r="AC205" s="2525" t="s">
        <v>2589</v>
      </c>
      <c r="AD205" s="2526"/>
      <c r="AE205" s="2526"/>
      <c r="AF205" s="2527"/>
      <c r="AG205" s="2517" t="s">
        <v>2588</v>
      </c>
      <c r="AH205" s="2512"/>
      <c r="AI205" s="2512"/>
      <c r="AJ205" s="2512"/>
      <c r="AK205" s="257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0">
        <v>1</v>
      </c>
      <c r="D207" s="2171"/>
      <c r="E207" s="2171"/>
      <c r="F207" s="2171"/>
      <c r="G207" s="2172" t="s">
        <v>2154</v>
      </c>
      <c r="H207" s="2172"/>
      <c r="I207" s="2172"/>
      <c r="J207" s="2172"/>
      <c r="K207" s="2172"/>
      <c r="L207" s="2172"/>
      <c r="M207" s="2172"/>
      <c r="N207" s="2172"/>
      <c r="O207" s="2172"/>
      <c r="P207" s="2173"/>
      <c r="Q207" s="2577"/>
      <c r="R207" s="2577"/>
      <c r="S207" s="2577"/>
      <c r="T207" s="2577"/>
      <c r="U207" s="2174" t="s">
        <v>2154</v>
      </c>
      <c r="V207" s="2174"/>
      <c r="W207" s="2174"/>
      <c r="X207" s="2174"/>
      <c r="Y207" s="2174" t="s">
        <v>2154</v>
      </c>
      <c r="Z207" s="2174"/>
      <c r="AA207" s="2174"/>
      <c r="AB207" s="2174"/>
      <c r="AC207" s="2175" t="s">
        <v>2154</v>
      </c>
      <c r="AD207" s="2175"/>
      <c r="AE207" s="2175"/>
      <c r="AF207" s="2175"/>
      <c r="AG207" s="2569"/>
      <c r="AH207" s="2570"/>
      <c r="AI207" s="2570"/>
      <c r="AJ207" s="2570"/>
      <c r="AK207" s="257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0">
        <v>2</v>
      </c>
      <c r="D208" s="2171"/>
      <c r="E208" s="2171"/>
      <c r="F208" s="2171"/>
      <c r="G208" s="2172" t="s">
        <v>2154</v>
      </c>
      <c r="H208" s="2172"/>
      <c r="I208" s="2172"/>
      <c r="J208" s="2172"/>
      <c r="K208" s="2172"/>
      <c r="L208" s="2172"/>
      <c r="M208" s="2172"/>
      <c r="N208" s="2172"/>
      <c r="O208" s="2172"/>
      <c r="P208" s="2173"/>
      <c r="Q208" s="2173"/>
      <c r="R208" s="2173"/>
      <c r="S208" s="2173"/>
      <c r="T208" s="2173"/>
      <c r="U208" s="2174" t="s">
        <v>2154</v>
      </c>
      <c r="V208" s="2174"/>
      <c r="W208" s="2174"/>
      <c r="X208" s="2174"/>
      <c r="Y208" s="2174" t="s">
        <v>2154</v>
      </c>
      <c r="Z208" s="2174"/>
      <c r="AA208" s="2174"/>
      <c r="AB208" s="2174"/>
      <c r="AC208" s="2175" t="s">
        <v>2154</v>
      </c>
      <c r="AD208" s="2175"/>
      <c r="AE208" s="2175"/>
      <c r="AF208" s="2175"/>
      <c r="AG208" s="2569"/>
      <c r="AH208" s="2570"/>
      <c r="AI208" s="2570"/>
      <c r="AJ208" s="2570"/>
      <c r="AK208" s="257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0">
        <v>3</v>
      </c>
      <c r="D209" s="2171"/>
      <c r="E209" s="2171"/>
      <c r="F209" s="2171"/>
      <c r="G209" s="2172" t="s">
        <v>2154</v>
      </c>
      <c r="H209" s="2172"/>
      <c r="I209" s="2172"/>
      <c r="J209" s="2172"/>
      <c r="K209" s="2172"/>
      <c r="L209" s="2172"/>
      <c r="M209" s="2172"/>
      <c r="N209" s="2172"/>
      <c r="O209" s="2172"/>
      <c r="P209" s="2173"/>
      <c r="Q209" s="2173"/>
      <c r="R209" s="2173"/>
      <c r="S209" s="2173"/>
      <c r="T209" s="2173"/>
      <c r="U209" s="2174" t="s">
        <v>2154</v>
      </c>
      <c r="V209" s="2174"/>
      <c r="W209" s="2174"/>
      <c r="X209" s="2174"/>
      <c r="Y209" s="2174" t="s">
        <v>2154</v>
      </c>
      <c r="Z209" s="2174"/>
      <c r="AA209" s="2174"/>
      <c r="AB209" s="2174"/>
      <c r="AC209" s="2175" t="s">
        <v>2154</v>
      </c>
      <c r="AD209" s="2175"/>
      <c r="AE209" s="2175"/>
      <c r="AF209" s="2175"/>
      <c r="AG209" s="2569"/>
      <c r="AH209" s="2570"/>
      <c r="AI209" s="2570"/>
      <c r="AJ209" s="2570"/>
      <c r="AK209" s="257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0">
        <v>4</v>
      </c>
      <c r="D210" s="2171"/>
      <c r="E210" s="2171"/>
      <c r="F210" s="2171"/>
      <c r="G210" s="2172" t="s">
        <v>2154</v>
      </c>
      <c r="H210" s="2172"/>
      <c r="I210" s="2172"/>
      <c r="J210" s="2172"/>
      <c r="K210" s="2172"/>
      <c r="L210" s="2172"/>
      <c r="M210" s="2172"/>
      <c r="N210" s="2172"/>
      <c r="O210" s="2172"/>
      <c r="P210" s="2173"/>
      <c r="Q210" s="2173"/>
      <c r="R210" s="2173"/>
      <c r="S210" s="2173"/>
      <c r="T210" s="2173"/>
      <c r="U210" s="2174" t="s">
        <v>2154</v>
      </c>
      <c r="V210" s="2174"/>
      <c r="W210" s="2174"/>
      <c r="X210" s="2174"/>
      <c r="Y210" s="2174" t="s">
        <v>2154</v>
      </c>
      <c r="Z210" s="2174"/>
      <c r="AA210" s="2174"/>
      <c r="AB210" s="2174"/>
      <c r="AC210" s="2175" t="s">
        <v>2154</v>
      </c>
      <c r="AD210" s="2175"/>
      <c r="AE210" s="2175"/>
      <c r="AF210" s="2175"/>
      <c r="AG210" s="2569"/>
      <c r="AH210" s="2570"/>
      <c r="AI210" s="2570"/>
      <c r="AJ210" s="2570"/>
      <c r="AK210" s="257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2154</v>
      </c>
      <c r="V211" s="2174"/>
      <c r="W211" s="2174"/>
      <c r="X211" s="2174"/>
      <c r="Y211" s="2174" t="s">
        <v>2154</v>
      </c>
      <c r="Z211" s="2174"/>
      <c r="AA211" s="2174"/>
      <c r="AB211" s="2174"/>
      <c r="AC211" s="2175" t="s">
        <v>2154</v>
      </c>
      <c r="AD211" s="2175"/>
      <c r="AE211" s="2175"/>
      <c r="AF211" s="2175"/>
      <c r="AG211" s="2569"/>
      <c r="AH211" s="2570"/>
      <c r="AI211" s="2570"/>
      <c r="AJ211" s="2570"/>
      <c r="AK211" s="257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0">
        <v>6</v>
      </c>
      <c r="D212" s="2171"/>
      <c r="E212" s="2171"/>
      <c r="F212" s="2171"/>
      <c r="G212" s="2172" t="s">
        <v>2154</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2154</v>
      </c>
      <c r="AD212" s="2175"/>
      <c r="AE212" s="2175"/>
      <c r="AF212" s="2175"/>
      <c r="AG212" s="2569"/>
      <c r="AH212" s="2570"/>
      <c r="AI212" s="2570"/>
      <c r="AJ212" s="2570"/>
      <c r="AK212" s="257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2154</v>
      </c>
      <c r="AD213" s="2175"/>
      <c r="AE213" s="2175"/>
      <c r="AF213" s="2175"/>
      <c r="AG213" s="2569"/>
      <c r="AH213" s="2570"/>
      <c r="AI213" s="2570"/>
      <c r="AJ213" s="2570"/>
      <c r="AK213" s="257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5" t="s">
        <v>2587</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5" t="s">
        <v>1854</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5"/>
    </row>
    <row r="220" spans="1:57" ht="15.75" customHeight="1">
      <c r="A220" s="1209"/>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5"/>
    </row>
    <row r="221" spans="1:57" ht="15.75" customHeight="1">
      <c r="A221" s="1209"/>
      <c r="B221" s="2551" t="s">
        <v>1855</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5"/>
    </row>
    <row r="222" spans="1:57" ht="15.75" customHeight="1">
      <c r="A222" s="1209"/>
      <c r="B222" s="2551" t="s">
        <v>1856</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4" t="s">
        <v>1857</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68" t="s">
        <v>1859</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7" t="s">
        <v>2498</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9"/>
      <c r="BB230" s="1209"/>
      <c r="BC230" s="1209"/>
      <c r="BD230" s="1205"/>
      <c r="BE230" s="1205"/>
    </row>
    <row r="231" spans="1:57" ht="15.75" customHeight="1">
      <c r="A231" s="1209"/>
      <c r="B231" s="1215"/>
      <c r="C231" s="1209"/>
      <c r="D231" s="1209"/>
      <c r="E231" s="1209"/>
      <c r="F231" s="1209"/>
      <c r="G231" s="1209"/>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9"/>
      <c r="BB231" s="1209"/>
      <c r="BC231" s="1209"/>
      <c r="BD231" s="1205"/>
      <c r="BE231" s="1205"/>
    </row>
    <row r="232" spans="1:57" ht="15.75" customHeight="1">
      <c r="A232" s="1209"/>
      <c r="B232" s="1215"/>
      <c r="C232" s="1209"/>
      <c r="D232" s="1209"/>
      <c r="E232" s="1209"/>
      <c r="F232" s="1209"/>
      <c r="G232" s="1209"/>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9"/>
      <c r="BB232" s="1209"/>
      <c r="BC232" s="1209"/>
      <c r="BD232" s="1205"/>
      <c r="BE232" s="1205"/>
    </row>
    <row r="233" spans="1:57" ht="15.75" customHeight="1">
      <c r="A233" s="1209"/>
      <c r="B233" s="1215"/>
      <c r="C233" s="1209"/>
      <c r="D233" s="1209"/>
      <c r="E233" s="1209"/>
      <c r="F233" s="1209"/>
      <c r="G233" s="1209"/>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6" t="s">
        <v>1860</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2" t="s">
        <v>1861</v>
      </c>
      <c r="I237" s="2542"/>
      <c r="J237" s="2542"/>
      <c r="K237" s="2542"/>
      <c r="L237" s="1211"/>
      <c r="M237" s="1211"/>
      <c r="N237" s="1211"/>
      <c r="O237" s="1211"/>
      <c r="P237" s="1211"/>
      <c r="Q237" s="1211"/>
      <c r="R237" s="1211"/>
      <c r="S237" s="2563"/>
      <c r="T237" s="2564"/>
      <c r="U237" s="2564"/>
      <c r="V237" s="2564"/>
      <c r="W237" s="2564"/>
      <c r="X237" s="2564"/>
      <c r="Y237" s="2564"/>
      <c r="Z237" s="2564"/>
      <c r="AA237" s="2564"/>
      <c r="AB237" s="2564"/>
      <c r="AC237" s="2564"/>
      <c r="AD237" s="2564"/>
      <c r="AE237" s="2564"/>
      <c r="AF237" s="2564"/>
      <c r="AG237" s="2564"/>
      <c r="AH237" s="2564"/>
      <c r="AI237" s="2564"/>
      <c r="AJ237" s="256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2" t="s">
        <v>1862</v>
      </c>
      <c r="I239" s="2542"/>
      <c r="J239" s="2542"/>
      <c r="K239" s="1213"/>
      <c r="L239" s="1211"/>
      <c r="M239" s="1211"/>
      <c r="N239" s="1211"/>
      <c r="O239" s="1211"/>
      <c r="P239" s="1211"/>
      <c r="Q239" s="1211"/>
      <c r="R239" s="1211"/>
      <c r="S239" s="2560"/>
      <c r="T239" s="2561"/>
      <c r="U239" s="2561"/>
      <c r="V239" s="2561"/>
      <c r="W239" s="2561"/>
      <c r="X239" s="2561"/>
      <c r="Y239" s="2561"/>
      <c r="Z239" s="2561"/>
      <c r="AA239" s="2561"/>
      <c r="AB239" s="2561"/>
      <c r="AC239" s="2561"/>
      <c r="AD239" s="2561"/>
      <c r="AE239" s="2561"/>
      <c r="AF239" s="2561"/>
      <c r="AG239" s="2561"/>
      <c r="AH239" s="2561"/>
      <c r="AI239" s="2561"/>
      <c r="AJ239" s="256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2" t="s">
        <v>443</v>
      </c>
      <c r="I241" s="2542"/>
      <c r="J241" s="1213"/>
      <c r="K241" s="1213"/>
      <c r="L241" s="1211"/>
      <c r="M241" s="1211"/>
      <c r="N241" s="1211"/>
      <c r="O241" s="1211"/>
      <c r="P241" s="1211"/>
      <c r="Q241" s="1211"/>
      <c r="R241" s="1211"/>
      <c r="S241" s="2560"/>
      <c r="T241" s="2561"/>
      <c r="U241" s="2561"/>
      <c r="V241" s="2561"/>
      <c r="W241" s="2561"/>
      <c r="X241" s="2561"/>
      <c r="Y241" s="2561"/>
      <c r="Z241" s="2561"/>
      <c r="AA241" s="2561"/>
      <c r="AB241" s="2561"/>
      <c r="AC241" s="2561"/>
      <c r="AD241" s="2561"/>
      <c r="AE241" s="2561"/>
      <c r="AF241" s="2561"/>
      <c r="AG241" s="2561"/>
      <c r="AH241" s="2561"/>
      <c r="AI241" s="2561"/>
      <c r="AJ241" s="256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3" t="s">
        <v>1863</v>
      </c>
      <c r="I243" s="2543"/>
      <c r="J243" s="2543"/>
      <c r="K243" s="2543"/>
      <c r="L243" s="2543"/>
      <c r="M243" s="2543"/>
      <c r="N243" s="2543"/>
      <c r="O243" s="2543"/>
      <c r="P243" s="1211"/>
      <c r="Q243" s="1211"/>
      <c r="R243" s="1211"/>
      <c r="S243" s="2560"/>
      <c r="T243" s="2561"/>
      <c r="U243" s="2561"/>
      <c r="V243" s="2561"/>
      <c r="W243" s="2561"/>
      <c r="X243" s="2561"/>
      <c r="Y243" s="2561"/>
      <c r="Z243" s="2561"/>
      <c r="AA243" s="2561"/>
      <c r="AB243" s="2561"/>
      <c r="AC243" s="2561"/>
      <c r="AD243" s="2561"/>
      <c r="AE243" s="2561"/>
      <c r="AF243" s="2561"/>
      <c r="AG243" s="2561"/>
      <c r="AH243" s="2561"/>
      <c r="AI243" s="2561"/>
      <c r="AJ243" s="256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4" t="s">
        <v>1864</v>
      </c>
      <c r="I245" s="2544"/>
      <c r="J245" s="1211"/>
      <c r="K245" s="1211"/>
      <c r="L245" s="1211"/>
      <c r="M245" s="1211"/>
      <c r="N245" s="1211"/>
      <c r="O245" s="1211"/>
      <c r="P245" s="1211"/>
      <c r="Q245" s="1211"/>
      <c r="R245" s="1211"/>
      <c r="S245" s="2557"/>
      <c r="T245" s="2558"/>
      <c r="U245" s="2558"/>
      <c r="V245" s="2558"/>
      <c r="W245" s="2558"/>
      <c r="X245" s="2558"/>
      <c r="Y245" s="2558"/>
      <c r="Z245" s="2558"/>
      <c r="AA245" s="2558"/>
      <c r="AB245" s="2558"/>
      <c r="AC245" s="2558"/>
      <c r="AD245" s="2558"/>
      <c r="AE245" s="2558"/>
      <c r="AF245" s="2558"/>
      <c r="AG245" s="2558"/>
      <c r="AH245" s="2558"/>
      <c r="AI245" s="2558"/>
      <c r="AJ245" s="255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6" ma:contentTypeDescription="Create a new document." ma:contentTypeScope="" ma:versionID="82e4499ed6f5b90b6bb6a9f802e063b7">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0342a3fabd2a06d719013940085a60e6"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SharedWithUsers xmlns="17fcf1e4-1e12-4d8b-b149-fe303d175e1c">
      <UserInfo>
        <DisplayName>Maegan Pearson</DisplayName>
        <AccountId>377</AccountId>
        <AccountType/>
      </UserInfo>
      <UserInfo>
        <DisplayName>Lara Regus</DisplayName>
        <AccountId>376</AccountId>
        <AccountType/>
      </UserInfo>
      <UserInfo>
        <DisplayName>Sharon Ghalchi</DisplayName>
        <AccountId>381</AccountId>
        <AccountType/>
      </UserInfo>
    </SharedWithUsers>
    <_dlc_DocId xmlns="17fcf1e4-1e12-4d8b-b149-fe303d175e1c">3MMXQM6QZAKD-201018322-2592914</_dlc_DocId>
    <_dlc_DocIdUrl xmlns="17fcf1e4-1e12-4d8b-b149-fe303d175e1c">
      <Url>https://abode.sharepoint.com/sites/File_Share/_layouts/15/DocIdRedir.aspx?ID=3MMXQM6QZAKD-201018322-2592914</Url>
      <Description>3MMXQM6QZAKD-201018322-2592914</Description>
    </_dlc_DocIdUrl>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documentManagement>
</p:properties>
</file>

<file path=customXml/itemProps1.xml><?xml version="1.0" encoding="utf-8"?>
<ds:datastoreItem xmlns:ds="http://schemas.openxmlformats.org/officeDocument/2006/customXml" ds:itemID="{A12D60BF-143A-4377-AC7D-56FC37643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23C5B9-3E7A-4C26-977A-3F66B5A3B2E3}">
  <ds:schemaRefs>
    <ds:schemaRef ds:uri="http://schemas.microsoft.com/sharepoint/v3/contenttype/forms"/>
  </ds:schemaRefs>
</ds:datastoreItem>
</file>

<file path=customXml/itemProps3.xml><?xml version="1.0" encoding="utf-8"?>
<ds:datastoreItem xmlns:ds="http://schemas.openxmlformats.org/officeDocument/2006/customXml" ds:itemID="{B80B53E3-9EDC-47CB-89D0-D94E2543CDD8}">
  <ds:schemaRefs>
    <ds:schemaRef ds:uri="http://schemas.microsoft.com/sharepoint/events"/>
  </ds:schemaRefs>
</ds:datastoreItem>
</file>

<file path=customXml/itemProps4.xml><?xml version="1.0" encoding="utf-8"?>
<ds:datastoreItem xmlns:ds="http://schemas.openxmlformats.org/officeDocument/2006/customXml" ds:itemID="{5269F12C-6EEB-4CCB-8712-3292638D5867}">
  <ds:schemaRefs>
    <ds:schemaRef ds:uri="adfa2c10-b3ea-4c34-937f-5aa60ce55639"/>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elements/1.1/"/>
    <ds:schemaRef ds:uri="17fcf1e4-1e12-4d8b-b149-fe303d175e1c"/>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Maegan Pearson</cp:lastModifiedBy>
  <cp:lastPrinted>2022-06-02T00:41:49Z</cp:lastPrinted>
  <dcterms:created xsi:type="dcterms:W3CDTF">2007-12-27T18:26:28Z</dcterms:created>
  <dcterms:modified xsi:type="dcterms:W3CDTF">2024-04-23T16:59:08Z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ceb65ae2-a9f6-4ef7-9113-cd9814bb0453</vt:lpwstr>
  </property>
  <property fmtid="{D5CDD505-2E9C-101B-9397-08002B2CF9AE}" pid="4" name="MediaServiceImageTags">
    <vt:lpwstr/>
  </property>
</Properties>
</file>